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https://nginaau-my.sharepoint.com/personal/tara_preston_ngina_com_au/Documents/Documents/Costings/"/>
    </mc:Choice>
  </mc:AlternateContent>
  <xr:revisionPtr revIDLastSave="944" documentId="8_{E621638B-8FFF-4F26-825C-6169FA0C647C}" xr6:coauthVersionLast="47" xr6:coauthVersionMax="47" xr10:uidLastSave="{CAB7F2D5-33BF-4787-A03A-8B58ABF41068}"/>
  <bookViews>
    <workbookView xWindow="-120" yWindow="-120" windowWidth="20730" windowHeight="11040" xr2:uid="{00000000-000D-0000-FFFF-FFFF00000000}"/>
  </bookViews>
  <sheets>
    <sheet name="Labour Costs" sheetId="4" r:id="rId1"/>
    <sheet name="Awards" sheetId="7" r:id="rId2"/>
    <sheet name="Salary" sheetId="9" r:id="rId3"/>
    <sheet name="Workers Comp" sheetId="8" r:id="rId4"/>
    <sheet name="Actually Worked Days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" i="8" l="1"/>
  <c r="D5" i="8"/>
  <c r="D4" i="8"/>
  <c r="N9" i="4"/>
  <c r="L3" i="4"/>
  <c r="L4" i="4"/>
  <c r="L5" i="4"/>
  <c r="L6" i="4"/>
  <c r="L7" i="4"/>
  <c r="L8" i="4"/>
  <c r="L2" i="4"/>
  <c r="W2" i="4"/>
  <c r="G2" i="4" a="1"/>
  <c r="G2" i="4" s="1"/>
  <c r="J3" i="4"/>
  <c r="J4" i="4"/>
  <c r="J5" i="4"/>
  <c r="J6" i="4"/>
  <c r="J7" i="4"/>
  <c r="J8" i="4"/>
  <c r="J2" i="4"/>
  <c r="D2" i="4" a="1"/>
  <c r="D2" i="4" s="1"/>
  <c r="M2" i="4" l="1"/>
  <c r="P2" i="4"/>
  <c r="N2" i="4"/>
  <c r="I2" i="7"/>
  <c r="G3" i="4" a="1"/>
  <c r="G3" i="4" s="1"/>
  <c r="G4" i="4" a="1"/>
  <c r="G4" i="4" s="1"/>
  <c r="G5" i="4" a="1"/>
  <c r="G5" i="4" s="1"/>
  <c r="G6" i="4" a="1"/>
  <c r="G6" i="4" s="1"/>
  <c r="G7" i="4" a="1"/>
  <c r="G7" i="4" s="1"/>
  <c r="G8" i="4" a="1"/>
  <c r="G8" i="4" s="1"/>
  <c r="G9" i="4" a="1"/>
  <c r="G9" i="4" s="1"/>
  <c r="I10" i="7"/>
  <c r="B5" i="9" l="1"/>
  <c r="Z6" i="4" a="1"/>
  <c r="Z6" i="4" s="1"/>
  <c r="Z7" i="4" a="1"/>
  <c r="Z7" i="4" s="1"/>
  <c r="Z8" i="4" a="1"/>
  <c r="Z8" i="4" s="1"/>
  <c r="Z9" i="4" a="1"/>
  <c r="Z9" i="4" s="1"/>
  <c r="AA9" i="4" s="1"/>
  <c r="AB9" i="4" s="1"/>
  <c r="Z2" i="4" a="1"/>
  <c r="Z2" i="4" s="1"/>
  <c r="Z1048576" i="4" a="1"/>
  <c r="Z1048576" i="4" s="1"/>
  <c r="D3" i="8"/>
  <c r="D7" i="8"/>
  <c r="D8" i="8"/>
  <c r="D9" i="8"/>
  <c r="D10" i="8"/>
  <c r="D2" i="8"/>
  <c r="Z5" i="4" s="1" a="1"/>
  <c r="Z5" i="4" s="1"/>
  <c r="Z4" i="4" l="1" a="1"/>
  <c r="Z4" i="4" s="1"/>
  <c r="Z3" i="4" a="1"/>
  <c r="Z3" i="4" s="1"/>
  <c r="B7" i="6"/>
  <c r="B8" i="6" s="1"/>
  <c r="D7" i="4" a="1"/>
  <c r="D7" i="4" s="1"/>
  <c r="M7" i="4" s="1"/>
  <c r="D6" i="4" a="1"/>
  <c r="D6" i="4" s="1"/>
  <c r="M6" i="4" s="1"/>
  <c r="D5" i="4" a="1"/>
  <c r="D5" i="4" s="1"/>
  <c r="M5" i="4" s="1"/>
  <c r="D4" i="4" a="1"/>
  <c r="D4" i="4" s="1"/>
  <c r="M4" i="4" s="1"/>
  <c r="D3" i="4" a="1"/>
  <c r="D3" i="4" s="1"/>
  <c r="M3" i="4" s="1"/>
  <c r="D8" i="4"/>
  <c r="M8" i="4" s="1"/>
  <c r="W3" i="4"/>
  <c r="W4" i="4"/>
  <c r="W5" i="4"/>
  <c r="W6" i="4"/>
  <c r="W7" i="4"/>
  <c r="W8" i="4"/>
  <c r="W9" i="4"/>
  <c r="W1048576" i="4"/>
  <c r="N3" i="4" l="1"/>
  <c r="O3" i="4" s="1"/>
  <c r="P3" i="4"/>
  <c r="N4" i="4"/>
  <c r="P4" i="4"/>
  <c r="P6" i="4"/>
  <c r="N6" i="4"/>
  <c r="N8" i="4"/>
  <c r="O8" i="4" s="1"/>
  <c r="P8" i="4"/>
  <c r="P7" i="4"/>
  <c r="N7" i="4"/>
  <c r="N5" i="4"/>
  <c r="P5" i="4"/>
  <c r="T8" i="4"/>
  <c r="AC8" i="4"/>
  <c r="S8" i="4" l="1"/>
  <c r="Q8" i="4"/>
  <c r="R8" i="4" s="1"/>
  <c r="U8" i="4"/>
  <c r="X8" i="4" s="1"/>
  <c r="AA8" i="4" s="1"/>
  <c r="AB8" i="4" s="1"/>
  <c r="AD8" i="4" s="1"/>
  <c r="P19" i="4" l="1"/>
  <c r="S3" i="4"/>
  <c r="S4" i="4"/>
  <c r="S2" i="4"/>
  <c r="Q3" i="4"/>
  <c r="R3" i="4" s="1"/>
  <c r="Q4" i="4"/>
  <c r="R4" i="4" s="1"/>
  <c r="Q2" i="4"/>
  <c r="R2" i="4" s="1"/>
  <c r="T6" i="4" l="1"/>
  <c r="T4" i="4"/>
  <c r="AC5" i="4"/>
  <c r="AC7" i="4"/>
  <c r="T2" i="4"/>
  <c r="T5" i="4"/>
  <c r="T7" i="4"/>
  <c r="T3" i="4"/>
  <c r="AC3" i="4"/>
  <c r="U3" i="4" s="1"/>
  <c r="X3" i="4" s="1"/>
  <c r="AA3" i="4" s="1"/>
  <c r="AB3" i="4" s="1"/>
  <c r="AD3" i="4" s="1"/>
  <c r="AC4" i="4"/>
  <c r="AC2" i="4"/>
  <c r="AC6" i="4"/>
  <c r="O4" i="4"/>
  <c r="U4" i="4" l="1"/>
  <c r="X4" i="4" s="1"/>
  <c r="AA4" i="4" s="1"/>
  <c r="AB4" i="4" s="1"/>
  <c r="AD4" i="4" s="1"/>
  <c r="U2" i="4"/>
  <c r="X2" i="4" s="1"/>
  <c r="AE7" i="4"/>
  <c r="AE8" i="4"/>
  <c r="AE3" i="4"/>
  <c r="AF3" i="4" s="1"/>
  <c r="AE4" i="4"/>
  <c r="AE5" i="4"/>
  <c r="AE6" i="4"/>
  <c r="AE2" i="4"/>
  <c r="O5" i="4"/>
  <c r="S5" i="4"/>
  <c r="Q5" i="4"/>
  <c r="U5" i="4" s="1"/>
  <c r="X5" i="4" s="1"/>
  <c r="AA5" i="4" s="1"/>
  <c r="AB5" i="4" s="1"/>
  <c r="AD5" i="4" s="1"/>
  <c r="O6" i="4"/>
  <c r="Q6" i="4"/>
  <c r="U6" i="4" s="1"/>
  <c r="X6" i="4" s="1"/>
  <c r="AA6" i="4" s="1"/>
  <c r="AB6" i="4" s="1"/>
  <c r="AD6" i="4" s="1"/>
  <c r="S6" i="4"/>
  <c r="O7" i="4"/>
  <c r="Q7" i="4"/>
  <c r="R7" i="4" s="1"/>
  <c r="S7" i="4"/>
  <c r="AA2" i="4" l="1"/>
  <c r="AB2" i="4" s="1"/>
  <c r="AD2" i="4" s="1"/>
  <c r="AF2" i="4" s="1"/>
  <c r="AF4" i="4"/>
  <c r="U7" i="4"/>
  <c r="X7" i="4" s="1"/>
  <c r="AF5" i="4"/>
  <c r="R5" i="4"/>
  <c r="AF6" i="4"/>
  <c r="R6" i="4"/>
  <c r="AA7" i="4" l="1"/>
  <c r="AB7" i="4" s="1"/>
  <c r="AD7" i="4" s="1"/>
  <c r="AF7" i="4" s="1"/>
  <c r="O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<sst xmlns="http://schemas.openxmlformats.org/spreadsheetml/2006/main" count="255" uniqueCount="132">
  <si>
    <t>Hourly Rate</t>
  </si>
  <si>
    <t xml:space="preserve">Adult </t>
  </si>
  <si>
    <t>Casual</t>
  </si>
  <si>
    <t>Total Business Days in a Year</t>
  </si>
  <si>
    <t>2025 has 261 possible  work days</t>
  </si>
  <si>
    <t>Paid Holidays</t>
  </si>
  <si>
    <t>2025 has 9 weekday public holidays</t>
  </si>
  <si>
    <t>Vacation Days</t>
  </si>
  <si>
    <t>Sick Days</t>
  </si>
  <si>
    <t>Total Hours Worked (Actual Days Worked * Daily Work Hours)</t>
  </si>
  <si>
    <t>Employment Type</t>
  </si>
  <si>
    <t>Hours Worked per Week</t>
  </si>
  <si>
    <t>Weekly Wage</t>
  </si>
  <si>
    <t>Annual Wage</t>
  </si>
  <si>
    <t>Award Name &amp; Pay Grade</t>
  </si>
  <si>
    <t>Full Time/Part Time</t>
  </si>
  <si>
    <t>Nursery Award 2 FT/PT</t>
  </si>
  <si>
    <t>Nursery Award 5 FT/PT</t>
  </si>
  <si>
    <t>Nursery Award 2 Casual</t>
  </si>
  <si>
    <t>Nursery Award 1B Casual</t>
  </si>
  <si>
    <t>Nursery Award 1A Casual</t>
  </si>
  <si>
    <t>Employee Name/Position</t>
  </si>
  <si>
    <t>Employee 1 Nursery Hand</t>
  </si>
  <si>
    <t>Employee 2 Nursery Hand</t>
  </si>
  <si>
    <t>Employee 3 Nursery Hand</t>
  </si>
  <si>
    <t>Employee 4 Supervisor</t>
  </si>
  <si>
    <t>Employee 5 Nursery Manager</t>
  </si>
  <si>
    <t>Nursery Award 1A FT/PT</t>
  </si>
  <si>
    <t>Nursery Award 1B FT/PT</t>
  </si>
  <si>
    <t>Nursery Award 3 FT/PT</t>
  </si>
  <si>
    <t>Nursery Award 4 FT/PT</t>
  </si>
  <si>
    <t>Nursery Award 6 FT/PT</t>
  </si>
  <si>
    <t>Nursery Award 3 Casual</t>
  </si>
  <si>
    <t>Nursery Award 4 Casual</t>
  </si>
  <si>
    <t>Nursery Award 5 Casual</t>
  </si>
  <si>
    <t>Nursery Award 6 Casual</t>
  </si>
  <si>
    <t>Horticulture Award 1 Casual</t>
  </si>
  <si>
    <t>Horticulture Award 2 Casual</t>
  </si>
  <si>
    <t>Horticulture Award 3 Casual</t>
  </si>
  <si>
    <t>Horticulture Award 4 Casual</t>
  </si>
  <si>
    <t>Horticulture Award 5 Casual</t>
  </si>
  <si>
    <t>Horticulture Award 2 FT/PT</t>
  </si>
  <si>
    <t>Horticulture Award 3 FT/PT</t>
  </si>
  <si>
    <t>Horticulture Award 4 FT/PT</t>
  </si>
  <si>
    <t>Horticulture Award 5 FT/PT</t>
  </si>
  <si>
    <t>Horticulture Award 1 FT/PT</t>
  </si>
  <si>
    <t>Retail Award 1 FT/PT</t>
  </si>
  <si>
    <t>Retail Award 2 FT/PT</t>
  </si>
  <si>
    <t>Retail Award 3 FT/PT</t>
  </si>
  <si>
    <t>Retail Award 4 FT/PT</t>
  </si>
  <si>
    <t>Retail Award 5 FT/PT</t>
  </si>
  <si>
    <t>Retail Award 1 Casual</t>
  </si>
  <si>
    <t>Retail Award 2 Casual</t>
  </si>
  <si>
    <t>Retail Award 3 Casual</t>
  </si>
  <si>
    <t>Retail Award 4 Casual</t>
  </si>
  <si>
    <t>Retail Award 5 Casual</t>
  </si>
  <si>
    <t>Retail Award 6 FT/PT</t>
  </si>
  <si>
    <t>Retail Award 7 FT/PT</t>
  </si>
  <si>
    <t>Retail Award 8 FT/PT</t>
  </si>
  <si>
    <t>Retail Award 6 Casual</t>
  </si>
  <si>
    <t>Retail Award 7 Casual</t>
  </si>
  <si>
    <t>Retail Award 8 Casual</t>
  </si>
  <si>
    <t>Yes</t>
  </si>
  <si>
    <t>First Aid Allowance Applicable?</t>
  </si>
  <si>
    <t>No</t>
  </si>
  <si>
    <t>First Aid cost per hour</t>
  </si>
  <si>
    <t>Other (Recruitment/Training/Bonuses/Travel/Office Costs) 5% per hour</t>
  </si>
  <si>
    <t>Total Labour Cost Per Working Hour</t>
  </si>
  <si>
    <t>Annual Labour Cost</t>
  </si>
  <si>
    <t>Personal/Carers Leave Cost per Hour</t>
  </si>
  <si>
    <t>Long Service Leave Accrual per hour</t>
  </si>
  <si>
    <t>Hours Actually Worked</t>
  </si>
  <si>
    <t>Training Days</t>
  </si>
  <si>
    <t>Actual Days Worked per Week</t>
  </si>
  <si>
    <t>Actual Days Worked per Year (Business Days - Holidays - Vacation - Sick)</t>
  </si>
  <si>
    <t>Superannuation Cost (12%) per hour</t>
  </si>
  <si>
    <t>Annual Leave Loading Per Hour (17.5% for 20 business days)</t>
  </si>
  <si>
    <t>Employee 6 Horticulturist</t>
  </si>
  <si>
    <t>Payroll Tax Applicable</t>
  </si>
  <si>
    <t>Employee 7 Marketing Coordinator</t>
  </si>
  <si>
    <t>Salary</t>
  </si>
  <si>
    <t>YES NSW</t>
  </si>
  <si>
    <t>Payroll Tax Rate per hour By State</t>
  </si>
  <si>
    <t xml:space="preserve">Subtotal Labor Cost per hour </t>
  </si>
  <si>
    <t>Workers Compensation Insurance Type</t>
  </si>
  <si>
    <t>NSW Plant Nurseries: 010600</t>
  </si>
  <si>
    <t>NSW Landscaping Services: 421000</t>
  </si>
  <si>
    <t>Workers Compensation Type</t>
  </si>
  <si>
    <t>Award</t>
  </si>
  <si>
    <t>Adult or Casual</t>
  </si>
  <si>
    <t xml:space="preserve">Hourly rate </t>
  </si>
  <si>
    <t>Annual Leave Provision Per Hour</t>
  </si>
  <si>
    <t xml:space="preserve">ACT Nursery Production (Under Cover): 0111. </t>
  </si>
  <si>
    <t>ACT Nursery Production (Outdoors): 0112</t>
  </si>
  <si>
    <t xml:space="preserve">ACT Landscaping Construction Services: 3291. </t>
  </si>
  <si>
    <t>2024-2025 Premium %</t>
  </si>
  <si>
    <t>Dust Diseases Contribution %</t>
  </si>
  <si>
    <t>Total</t>
  </si>
  <si>
    <t>ACT Gardening Services: 7313</t>
  </si>
  <si>
    <t xml:space="preserve"> </t>
  </si>
  <si>
    <t>Workers Compensation Insurance Percentage</t>
  </si>
  <si>
    <t>Workers Compensation Insurance Cost per hour</t>
  </si>
  <si>
    <t>Labour Cost per hour including Payroll Tax</t>
  </si>
  <si>
    <t>Labour Cost per hour including Payroll Tax &amp; Workers Compensation Insurance</t>
  </si>
  <si>
    <t>Salary Calculator</t>
  </si>
  <si>
    <t>Annual salary</t>
  </si>
  <si>
    <t>Hours worked per week</t>
  </si>
  <si>
    <t xml:space="preserve">Allowances </t>
  </si>
  <si>
    <t>Nursery Award</t>
  </si>
  <si>
    <t>Horticulture Award</t>
  </si>
  <si>
    <t>Leading Hand Allowance 2-6 Employees</t>
  </si>
  <si>
    <t>Leading Hand Allowance 7-10 Employees</t>
  </si>
  <si>
    <t>Leading Hand Allowance 11-20 Employees</t>
  </si>
  <si>
    <t>Leading Hand Allowance 20+ Employees</t>
  </si>
  <si>
    <t>Nursery Award - Pay Guide July 2024</t>
  </si>
  <si>
    <t>Horticulture Award - Pay Guide July 2024</t>
  </si>
  <si>
    <t>Retail Award - Pay Guide July 2024</t>
  </si>
  <si>
    <t>Amount per week</t>
  </si>
  <si>
    <t>Amount per hour</t>
  </si>
  <si>
    <t>First Aid Allowance</t>
  </si>
  <si>
    <t xml:space="preserve">Retail Award </t>
  </si>
  <si>
    <t>Car Allowance Applicable</t>
  </si>
  <si>
    <t>Annual Car Allowance Amount</t>
  </si>
  <si>
    <t>Car Allowance Cost per hour</t>
  </si>
  <si>
    <t xml:space="preserve">Leading Hand Allowance Applicable </t>
  </si>
  <si>
    <t>Leading Hand Allowance per hour</t>
  </si>
  <si>
    <t>Yes 2-6 Employees</t>
  </si>
  <si>
    <t>Hourly Rate After Allowances</t>
  </si>
  <si>
    <t>Productive Hours  Worked per Week</t>
  </si>
  <si>
    <t>NSW Garden Equipment Retailing: 525300</t>
  </si>
  <si>
    <t>NSW Garden Services: 952510</t>
  </si>
  <si>
    <t>NSW Business Administrative Services: 785400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</si>
</sst>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44" formatCode="_-&quot;$&quot;* #,##0.00_-;\-&quot;$&quot;* #,##0.00_-;_-&quot;$&quot;* &quot;-&quot;??_-;_-@_-"/>
    <numFmt numFmtId="164" formatCode="#,##0_ ;\-#,##0\ "/>
    <numFmt numFmtId="165" formatCode="0.000%"/>
  </numFmts>
  <fonts count="8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1E1E1E"/>
      <name val="Segoe UI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66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00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70C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16">
    <xf numFmtId="0" fontId="0" fillId="0" borderId="0" xfId="0"/>
    <xf numFmtId="0" fontId="3" fillId="0" borderId="2" xfId="0" applyFont="1" applyBorder="1"/>
    <xf numFmtId="0" fontId="3" fillId="0" borderId="0" xfId="0" applyFont="1"/>
    <xf numFmtId="44" fontId="0" fillId="0" borderId="0" xfId="1" applyFont="1"/>
    <xf numFmtId="0" fontId="5" fillId="0" borderId="0" xfId="0" applyFont="1" applyAlignment="1">
      <alignment horizontal="left" vertical="center" wrapText="1" indent="1"/>
    </xf>
    <xf numFmtId="44" fontId="0" fillId="0" borderId="0" xfId="0" applyNumberFormat="1"/>
    <xf numFmtId="2" fontId="0" fillId="0" borderId="0" xfId="0" applyNumberFormat="1"/>
    <xf numFmtId="44" fontId="0" fillId="0" borderId="0" xfId="1" applyFont="1" applyFill="1"/>
    <xf numFmtId="164" fontId="0" fillId="0" borderId="0" xfId="1" applyNumberFormat="1" applyFont="1" applyFill="1"/>
    <xf numFmtId="0" fontId="6" fillId="0" borderId="0" xfId="0" applyFont="1"/>
    <xf numFmtId="44" fontId="0" fillId="0" borderId="0" xfId="1" applyFont="1" applyFill="1" applyBorder="1"/>
    <xf numFmtId="0" fontId="0" fillId="7" borderId="10" xfId="0" applyFill="1" applyBorder="1"/>
    <xf numFmtId="0" fontId="0" fillId="7" borderId="11" xfId="0" applyFill="1" applyBorder="1"/>
    <xf numFmtId="0" fontId="0" fillId="3" borderId="10" xfId="0" applyFill="1" applyBorder="1"/>
    <xf numFmtId="44" fontId="0" fillId="0" borderId="10" xfId="1" applyFont="1" applyBorder="1"/>
    <xf numFmtId="0" fontId="4" fillId="8" borderId="9" xfId="0" applyFont="1" applyFill="1" applyBorder="1" applyAlignment="1">
      <alignment horizontal="center" vertical="top" wrapText="1"/>
    </xf>
    <xf numFmtId="0" fontId="4" fillId="9" borderId="9" xfId="0" applyFont="1" applyFill="1" applyBorder="1" applyAlignment="1">
      <alignment horizontal="center" vertical="top" wrapText="1"/>
    </xf>
    <xf numFmtId="44" fontId="0" fillId="9" borderId="10" xfId="1" applyFont="1" applyFill="1" applyBorder="1"/>
    <xf numFmtId="44" fontId="0" fillId="9" borderId="11" xfId="1" applyFont="1" applyFill="1" applyBorder="1"/>
    <xf numFmtId="0" fontId="4" fillId="6" borderId="9" xfId="0" applyFont="1" applyFill="1" applyBorder="1" applyAlignment="1">
      <alignment horizontal="center" vertical="top" wrapText="1"/>
    </xf>
    <xf numFmtId="44" fontId="0" fillId="6" borderId="10" xfId="1" applyFont="1" applyFill="1" applyBorder="1"/>
    <xf numFmtId="44" fontId="0" fillId="6" borderId="11" xfId="1" applyFont="1" applyFill="1" applyBorder="1"/>
    <xf numFmtId="0" fontId="4" fillId="4" borderId="9" xfId="0" applyFont="1" applyFill="1" applyBorder="1" applyAlignment="1">
      <alignment horizontal="center" vertical="top" wrapText="1"/>
    </xf>
    <xf numFmtId="44" fontId="0" fillId="4" borderId="10" xfId="1" applyFont="1" applyFill="1" applyBorder="1"/>
    <xf numFmtId="44" fontId="0" fillId="4" borderId="11" xfId="1" applyFont="1" applyFill="1" applyBorder="1"/>
    <xf numFmtId="0" fontId="0" fillId="10" borderId="2" xfId="0" applyFill="1" applyBorder="1"/>
    <xf numFmtId="44" fontId="0" fillId="10" borderId="5" xfId="1" applyFont="1" applyFill="1" applyBorder="1"/>
    <xf numFmtId="0" fontId="0" fillId="10" borderId="7" xfId="0" applyFill="1" applyBorder="1"/>
    <xf numFmtId="44" fontId="0" fillId="10" borderId="8" xfId="1" applyFont="1" applyFill="1" applyBorder="1"/>
    <xf numFmtId="44" fontId="0" fillId="11" borderId="5" xfId="1" applyFont="1" applyFill="1" applyBorder="1"/>
    <xf numFmtId="0" fontId="0" fillId="11" borderId="7" xfId="0" applyFill="1" applyBorder="1"/>
    <xf numFmtId="44" fontId="0" fillId="11" borderId="8" xfId="1" applyFont="1" applyFill="1" applyBorder="1"/>
    <xf numFmtId="0" fontId="0" fillId="12" borderId="2" xfId="0" applyFill="1" applyBorder="1"/>
    <xf numFmtId="44" fontId="0" fillId="12" borderId="5" xfId="1" applyFont="1" applyFill="1" applyBorder="1"/>
    <xf numFmtId="0" fontId="0" fillId="12" borderId="7" xfId="0" applyFill="1" applyBorder="1"/>
    <xf numFmtId="44" fontId="0" fillId="12" borderId="8" xfId="1" applyFont="1" applyFill="1" applyBorder="1"/>
    <xf numFmtId="44" fontId="0" fillId="0" borderId="0" xfId="1" applyFont="1" applyBorder="1"/>
    <xf numFmtId="0" fontId="1" fillId="2" borderId="9" xfId="0" applyFont="1" applyFill="1" applyBorder="1" applyAlignment="1">
      <alignment horizontal="center" vertical="top"/>
    </xf>
    <xf numFmtId="44" fontId="0" fillId="2" borderId="10" xfId="1" applyFont="1" applyFill="1" applyBorder="1"/>
    <xf numFmtId="44" fontId="0" fillId="2" borderId="11" xfId="1" applyFont="1" applyFill="1" applyBorder="1"/>
    <xf numFmtId="0" fontId="1" fillId="13" borderId="9" xfId="0" applyFont="1" applyFill="1" applyBorder="1" applyAlignment="1">
      <alignment horizontal="center" vertical="top" wrapText="1"/>
    </xf>
    <xf numFmtId="44" fontId="0" fillId="13" borderId="10" xfId="1" applyFont="1" applyFill="1" applyBorder="1"/>
    <xf numFmtId="44" fontId="0" fillId="13" borderId="11" xfId="1" applyFont="1" applyFill="1" applyBorder="1"/>
    <xf numFmtId="0" fontId="4" fillId="12" borderId="9" xfId="0" applyFont="1" applyFill="1" applyBorder="1" applyAlignment="1">
      <alignment horizontal="center" vertical="top" wrapText="1"/>
    </xf>
    <xf numFmtId="164" fontId="0" fillId="12" borderId="10" xfId="1" applyNumberFormat="1" applyFont="1" applyFill="1" applyBorder="1"/>
    <xf numFmtId="164" fontId="0" fillId="12" borderId="11" xfId="1" applyNumberFormat="1" applyFont="1" applyFill="1" applyBorder="1"/>
    <xf numFmtId="44" fontId="0" fillId="8" borderId="10" xfId="1" applyFont="1" applyFill="1" applyBorder="1"/>
    <xf numFmtId="44" fontId="0" fillId="8" borderId="11" xfId="1" applyFont="1" applyFill="1" applyBorder="1"/>
    <xf numFmtId="0" fontId="1" fillId="3" borderId="9" xfId="0" applyFont="1" applyFill="1" applyBorder="1" applyAlignment="1">
      <alignment horizontal="center" vertical="top" wrapText="1"/>
    </xf>
    <xf numFmtId="0" fontId="3" fillId="0" borderId="1" xfId="0" applyFont="1" applyBorder="1"/>
    <xf numFmtId="0" fontId="3" fillId="0" borderId="3" xfId="0" applyFont="1" applyBorder="1"/>
    <xf numFmtId="0" fontId="0" fillId="0" borderId="4" xfId="0" applyBorder="1"/>
    <xf numFmtId="44" fontId="2" fillId="0" borderId="0" xfId="1" applyFont="1" applyFill="1" applyBorder="1"/>
    <xf numFmtId="0" fontId="0" fillId="12" borderId="0" xfId="0" applyFill="1"/>
    <xf numFmtId="0" fontId="0" fillId="11" borderId="0" xfId="0" applyFill="1"/>
    <xf numFmtId="0" fontId="0" fillId="10" borderId="0" xfId="0" applyFill="1"/>
    <xf numFmtId="0" fontId="0" fillId="0" borderId="1" xfId="0" applyBorder="1"/>
    <xf numFmtId="44" fontId="0" fillId="10" borderId="3" xfId="1" applyFont="1" applyFill="1" applyBorder="1"/>
    <xf numFmtId="44" fontId="0" fillId="12" borderId="3" xfId="1" applyFont="1" applyFill="1" applyBorder="1"/>
    <xf numFmtId="0" fontId="4" fillId="7" borderId="12" xfId="0" applyFont="1" applyFill="1" applyBorder="1" applyAlignment="1">
      <alignment horizontal="center" vertical="top"/>
    </xf>
    <xf numFmtId="0" fontId="0" fillId="3" borderId="11" xfId="0" applyFill="1" applyBorder="1"/>
    <xf numFmtId="0" fontId="1" fillId="6" borderId="9" xfId="0" applyFont="1" applyFill="1" applyBorder="1" applyAlignment="1">
      <alignment horizontal="center" vertical="top" wrapText="1"/>
    </xf>
    <xf numFmtId="10" fontId="0" fillId="0" borderId="0" xfId="0" applyNumberFormat="1"/>
    <xf numFmtId="0" fontId="3" fillId="0" borderId="0" xfId="0" applyFont="1" applyAlignment="1">
      <alignment horizontal="center" wrapText="1"/>
    </xf>
    <xf numFmtId="10" fontId="0" fillId="0" borderId="0" xfId="2" applyNumberFormat="1" applyFont="1"/>
    <xf numFmtId="165" fontId="0" fillId="0" borderId="0" xfId="2" applyNumberFormat="1" applyFont="1"/>
    <xf numFmtId="6" fontId="0" fillId="13" borderId="4" xfId="1" applyNumberFormat="1" applyFont="1" applyFill="1" applyBorder="1"/>
    <xf numFmtId="44" fontId="0" fillId="13" borderId="4" xfId="1" applyFont="1" applyFill="1" applyBorder="1"/>
    <xf numFmtId="44" fontId="0" fillId="13" borderId="6" xfId="1" applyFont="1" applyFill="1" applyBorder="1"/>
    <xf numFmtId="0" fontId="4" fillId="3" borderId="9" xfId="0" applyFont="1" applyFill="1" applyBorder="1" applyAlignment="1">
      <alignment horizontal="center" vertical="top"/>
    </xf>
    <xf numFmtId="0" fontId="1" fillId="13" borderId="14" xfId="0" applyFont="1" applyFill="1" applyBorder="1" applyAlignment="1">
      <alignment horizontal="center" vertical="top" wrapText="1"/>
    </xf>
    <xf numFmtId="0" fontId="1" fillId="8" borderId="9" xfId="0" applyFont="1" applyFill="1" applyBorder="1" applyAlignment="1">
      <alignment horizontal="center" vertical="top" wrapText="1"/>
    </xf>
    <xf numFmtId="0" fontId="0" fillId="3" borderId="12" xfId="0" applyFill="1" applyBorder="1"/>
    <xf numFmtId="44" fontId="0" fillId="2" borderId="12" xfId="1" applyFont="1" applyFill="1" applyBorder="1"/>
    <xf numFmtId="164" fontId="0" fillId="12" borderId="12" xfId="1" applyNumberFormat="1" applyFont="1" applyFill="1" applyBorder="1"/>
    <xf numFmtId="44" fontId="0" fillId="13" borderId="12" xfId="1" applyFont="1" applyFill="1" applyBorder="1"/>
    <xf numFmtId="6" fontId="0" fillId="13" borderId="1" xfId="1" applyNumberFormat="1" applyFont="1" applyFill="1" applyBorder="1"/>
    <xf numFmtId="44" fontId="0" fillId="8" borderId="12" xfId="1" applyFont="1" applyFill="1" applyBorder="1"/>
    <xf numFmtId="44" fontId="0" fillId="9" borderId="12" xfId="1" applyFont="1" applyFill="1" applyBorder="1"/>
    <xf numFmtId="44" fontId="0" fillId="6" borderId="12" xfId="1" applyFont="1" applyFill="1" applyBorder="1"/>
    <xf numFmtId="44" fontId="0" fillId="4" borderId="12" xfId="1" applyFont="1" applyFill="1" applyBorder="1"/>
    <xf numFmtId="0" fontId="0" fillId="3" borderId="0" xfId="0" applyFill="1"/>
    <xf numFmtId="0" fontId="6" fillId="0" borderId="0" xfId="0" applyFont="1" applyAlignment="1">
      <alignment horizontal="right"/>
    </xf>
    <xf numFmtId="0" fontId="4" fillId="5" borderId="9" xfId="0" applyFont="1" applyFill="1" applyBorder="1" applyAlignment="1">
      <alignment horizontal="center" vertical="top" wrapText="1"/>
    </xf>
    <xf numFmtId="44" fontId="0" fillId="5" borderId="12" xfId="1" applyFont="1" applyFill="1" applyBorder="1"/>
    <xf numFmtId="44" fontId="0" fillId="5" borderId="10" xfId="1" applyFont="1" applyFill="1" applyBorder="1"/>
    <xf numFmtId="44" fontId="0" fillId="5" borderId="11" xfId="1" applyFont="1" applyFill="1" applyBorder="1"/>
    <xf numFmtId="0" fontId="4" fillId="6" borderId="14" xfId="0" applyFont="1" applyFill="1" applyBorder="1" applyAlignment="1">
      <alignment horizontal="center" vertical="top" wrapText="1"/>
    </xf>
    <xf numFmtId="44" fontId="0" fillId="6" borderId="1" xfId="1" applyFont="1" applyFill="1" applyBorder="1"/>
    <xf numFmtId="44" fontId="0" fillId="6" borderId="4" xfId="1" applyFont="1" applyFill="1" applyBorder="1"/>
    <xf numFmtId="44" fontId="0" fillId="6" borderId="6" xfId="1" applyFont="1" applyFill="1" applyBorder="1"/>
    <xf numFmtId="44" fontId="0" fillId="6" borderId="12" xfId="0" applyNumberFormat="1" applyFill="1" applyBorder="1"/>
    <xf numFmtId="44" fontId="0" fillId="6" borderId="10" xfId="0" applyNumberFormat="1" applyFill="1" applyBorder="1"/>
    <xf numFmtId="44" fontId="0" fillId="6" borderId="11" xfId="0" applyNumberFormat="1" applyFill="1" applyBorder="1"/>
    <xf numFmtId="0" fontId="1" fillId="5" borderId="9" xfId="0" applyFont="1" applyFill="1" applyBorder="1" applyAlignment="1">
      <alignment horizontal="center" vertical="top" wrapText="1"/>
    </xf>
    <xf numFmtId="10" fontId="0" fillId="5" borderId="12" xfId="1" applyNumberFormat="1" applyFont="1" applyFill="1" applyBorder="1"/>
    <xf numFmtId="10" fontId="0" fillId="5" borderId="10" xfId="1" applyNumberFormat="1" applyFont="1" applyFill="1" applyBorder="1"/>
    <xf numFmtId="0" fontId="1" fillId="4" borderId="9" xfId="0" applyFont="1" applyFill="1" applyBorder="1" applyAlignment="1">
      <alignment horizontal="center" vertical="top" wrapText="1"/>
    </xf>
    <xf numFmtId="10" fontId="0" fillId="4" borderId="2" xfId="2" applyNumberFormat="1" applyFont="1" applyFill="1" applyBorder="1"/>
    <xf numFmtId="44" fontId="0" fillId="4" borderId="2" xfId="1" applyFont="1" applyFill="1" applyBorder="1"/>
    <xf numFmtId="10" fontId="0" fillId="4" borderId="0" xfId="2" applyNumberFormat="1" applyFont="1" applyFill="1" applyBorder="1"/>
    <xf numFmtId="44" fontId="0" fillId="4" borderId="0" xfId="1" applyFont="1" applyFill="1" applyBorder="1"/>
    <xf numFmtId="10" fontId="0" fillId="4" borderId="7" xfId="2" applyNumberFormat="1" applyFont="1" applyFill="1" applyBorder="1"/>
    <xf numFmtId="44" fontId="0" fillId="4" borderId="7" xfId="1" applyFont="1" applyFill="1" applyBorder="1"/>
    <xf numFmtId="0" fontId="4" fillId="14" borderId="13" xfId="0" applyFont="1" applyFill="1" applyBorder="1" applyAlignment="1">
      <alignment horizontal="center" vertical="top" wrapText="1"/>
    </xf>
    <xf numFmtId="44" fontId="0" fillId="14" borderId="3" xfId="1" applyFont="1" applyFill="1" applyBorder="1"/>
    <xf numFmtId="44" fontId="0" fillId="14" borderId="5" xfId="1" applyFont="1" applyFill="1" applyBorder="1"/>
    <xf numFmtId="44" fontId="0" fillId="14" borderId="8" xfId="1" applyFont="1" applyFill="1" applyBorder="1"/>
    <xf numFmtId="0" fontId="4" fillId="15" borderId="9" xfId="0" applyFont="1" applyFill="1" applyBorder="1" applyAlignment="1">
      <alignment horizontal="center" vertical="top" wrapText="1"/>
    </xf>
    <xf numFmtId="44" fontId="0" fillId="15" borderId="12" xfId="0" applyNumberFormat="1" applyFill="1" applyBorder="1"/>
    <xf numFmtId="2" fontId="0" fillId="15" borderId="12" xfId="0" applyNumberFormat="1" applyFill="1" applyBorder="1"/>
    <xf numFmtId="44" fontId="0" fillId="15" borderId="10" xfId="0" applyNumberFormat="1" applyFill="1" applyBorder="1"/>
    <xf numFmtId="2" fontId="0" fillId="15" borderId="10" xfId="0" applyNumberFormat="1" applyFill="1" applyBorder="1"/>
    <xf numFmtId="44" fontId="0" fillId="15" borderId="11" xfId="0" applyNumberFormat="1" applyFill="1" applyBorder="1"/>
    <xf numFmtId="2" fontId="0" fillId="15" borderId="11" xfId="0" applyNumberFormat="1" applyFill="1" applyBorder="1"/>
    <xf numFmtId="0" fontId="1" fillId="15" borderId="9" xfId="0" applyFont="1" applyFill="1" applyBorder="1" applyAlignment="1">
      <alignment horizontal="center" vertical="top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colors>
    <mruColors>
      <color rgb="FFCC00CC"/>
      <color rgb="FFFFCCFF"/>
      <color rgb="FFFF99FF"/>
      <color rgb="FFCCFF99"/>
      <color rgb="FFFFFF66"/>
      <color rgb="FF66FFFF"/>
      <color rgb="FFFF99CC"/>
      <color rgb="FF66FF66"/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J1048576"/>
  <sheetViews>
    <sheetView tabSelected="1" zoomScaleNormal="100" workbookViewId="0">
      <selection activeCell="A8" sqref="A8"/>
    </sheetView>
  </sheetViews>
  <sheetFormatPr defaultRowHeight="15" x14ac:dyDescent="0.25"/>
  <cols>
    <col min="1" max="2" width="28.28515625" customWidth="1"/>
    <col min="3" max="3" width="26.140625" customWidth="1"/>
    <col min="4" max="4" width="11.28515625" bestFit="1" customWidth="1"/>
    <col min="5" max="7" width="11.28515625" customWidth="1"/>
    <col min="8" max="8" width="14.140625" customWidth="1"/>
    <col min="9" max="13" width="19.7109375" customWidth="1"/>
    <col min="14" max="15" width="11.28515625" customWidth="1"/>
    <col min="16" max="16" width="11.140625" customWidth="1"/>
    <col min="17" max="29" width="19.7109375" customWidth="1"/>
    <col min="30" max="30" width="11.5703125" bestFit="1" customWidth="1"/>
    <col min="31" max="31" width="15.140625" customWidth="1"/>
    <col min="32" max="32" width="13.42578125" customWidth="1"/>
    <col min="39" max="39" width="11" customWidth="1"/>
  </cols>
  <sheetData>
    <row r="1" spans="1:36" ht="75.75" thickBot="1" x14ac:dyDescent="0.3">
      <c r="A1" s="59" t="s">
        <v>21</v>
      </c>
      <c r="B1" s="69" t="s">
        <v>10</v>
      </c>
      <c r="C1" s="48" t="s">
        <v>14</v>
      </c>
      <c r="D1" s="37" t="s">
        <v>0</v>
      </c>
      <c r="E1" s="43" t="s">
        <v>11</v>
      </c>
      <c r="F1" s="40" t="s">
        <v>63</v>
      </c>
      <c r="G1" s="40" t="s">
        <v>65</v>
      </c>
      <c r="H1" s="40" t="s">
        <v>121</v>
      </c>
      <c r="I1" s="70" t="s">
        <v>122</v>
      </c>
      <c r="J1" s="40" t="s">
        <v>123</v>
      </c>
      <c r="K1" s="40" t="s">
        <v>124</v>
      </c>
      <c r="L1" s="40" t="s">
        <v>125</v>
      </c>
      <c r="M1" s="71" t="s">
        <v>127</v>
      </c>
      <c r="N1" s="15" t="s">
        <v>12</v>
      </c>
      <c r="O1" s="15" t="s">
        <v>13</v>
      </c>
      <c r="P1" s="16" t="s">
        <v>75</v>
      </c>
      <c r="Q1" s="61" t="s">
        <v>91</v>
      </c>
      <c r="R1" s="19" t="s">
        <v>76</v>
      </c>
      <c r="S1" s="19" t="s">
        <v>69</v>
      </c>
      <c r="T1" s="87" t="s">
        <v>70</v>
      </c>
      <c r="U1" s="19" t="s">
        <v>83</v>
      </c>
      <c r="V1" s="83" t="s">
        <v>78</v>
      </c>
      <c r="W1" s="83" t="s">
        <v>82</v>
      </c>
      <c r="X1" s="94" t="s">
        <v>102</v>
      </c>
      <c r="Y1" s="22" t="s">
        <v>84</v>
      </c>
      <c r="Z1" s="97" t="s">
        <v>100</v>
      </c>
      <c r="AA1" s="97" t="s">
        <v>101</v>
      </c>
      <c r="AB1" s="97" t="s">
        <v>103</v>
      </c>
      <c r="AC1" s="104" t="s">
        <v>66</v>
      </c>
      <c r="AD1" s="108" t="s">
        <v>68</v>
      </c>
      <c r="AE1" s="115" t="s">
        <v>128</v>
      </c>
      <c r="AF1" s="108" t="s">
        <v>67</v>
      </c>
    </row>
    <row r="2" spans="1:36" x14ac:dyDescent="0.25">
      <c r="A2" s="11" t="s">
        <v>22</v>
      </c>
      <c r="B2" s="72" t="s">
        <v>2</v>
      </c>
      <c r="C2" s="72" t="s">
        <v>20</v>
      </c>
      <c r="D2" s="73" cm="1">
        <f t="array" ref="D2">_xlfn.IFS(
   C2="Nursery Award 1A FT/PT", Awards!D$2,
   C2="Nursery Award 1B FT/PT", Awards!D$3,
   C2="Nursery Award 2 FT/PT", Awards!D$4,
   C2="Nursery Award 3 FT/PT", Awards!D$5,
   C2="Nursery Award 4 FT/PT", Awards!D$6,
   C2="Nursery Award 5 FT/PT", Awards!D$7,
   C2="Nursery Award 6 FT/PT", Awards!D$8,
   C2="Nursery Award 1A Casual", Awards!D$9,
   C2="Nursery Award 1B Casual", Awards!D$10,
   C2="Nursery Award 2 Casual", Awards!D$11,
   C2="Nursery Award 3 Casual", Awards!D$12,
   C2="Nursery Award 4 Casual", Awards!D$13,
   C2="Nursery Award 5 Casual", Awards!D$14,
   C2="Nursery Award 6 Casual", Awards!D$15,
   C2="Horticulture Award 1 FT/PT", Awards!D$16,
   C2="Horticulture Award 2 FT/PT", Awards!D$17,
   C2="Horticulture Award 3 FT/PT", Awards!D$18,
   C2="Horticulture Award 4 FT/PT", Awards!D$19,
   C2="Horticulture Award 5 FT/PT", Awards!D$20,
   C2="Horticulture Award 1 Casual", Awards!D$21,
   C2="Horticulture Award 2 Casual", Awards!D$22,
   C2="Horticulture Award 3 Casual", Awards!D$23,
   C2="Horticulture Award 4 Casual", Awards!D$24,
   C2="Horticulture Award 5 Casual", Awards!D$25,
   C2="Retail Award 1 FT/PT", Awards!D$26,
   C2="Retail Award 2 FT/PT", Awards!D$27,
   C2="Retail Award 3 FT/PT", Awards!D$28,
   C2="Retail Award 4 FT/PT", Awards!D$29,
   C2="Retail Award 5 FT/PT", Awards!D$30,
   C2="Retail Award 6 FT/PT", Awards!D$31,
   C2="Retail Award 7 FT/PT", Awards!D$32,
   C2="Retail Award 8 FT/PT", Awards!D$33,
   C2="Retail Award 1 Casual", Awards!D$34,
   C2="Retail Award 2 Casual", Awards!D$35,
   C2="Retail Award 3 Casual", Awards!D$36,
   C2="Retail Award 4 Casual", Awards!D$37,
   C2="Retail Award 5 Casual", Awards!D$38,
   C2="Retail Award 6 Casual",  Awards!D$39,
   C2="Retail Award 7 Casual",  Awards!D$40,
   C2="Retail Award 8 Casual",  Awards!D$41
)</f>
        <v>29.33</v>
      </c>
      <c r="E2" s="74">
        <v>30</v>
      </c>
      <c r="F2" s="75" t="s">
        <v>64</v>
      </c>
      <c r="G2" s="75" cm="1">
        <f t="array" ref="G2">_xlfn.IFS( AND(F2="Yes", ISNUMBER(SEARCH("Nursery Award", TRIM(C2)))), Awards!I$2, AND(F2="Yes", ISNUMBER(SEARCH("Horticulture Award", TRIM(C2)))), Awards!I$4, AND(F2="Yes", ISNUMBER(SEARCH("Retail Award", TRIM(C2)))), Awards!I$10, F2="No", 0, TRUE, 0 )</f>
        <v>0</v>
      </c>
      <c r="H2" s="75" t="s">
        <v>64</v>
      </c>
      <c r="I2" s="76"/>
      <c r="J2" s="75">
        <f>I2/(52*38)</f>
        <v>0</v>
      </c>
      <c r="K2" s="75" t="s">
        <v>64</v>
      </c>
      <c r="L2" s="75">
        <f>IF(K2="YES 2-6 Employees",Awards!$I$5,IF(K2="YES 7-10 Employees",Awards!$I$6,IF(K2="YES 11-20 Employees",Awards!$I$7,IF(K2="YES 20+ Employees",Awards!$I$8,IF(K2="No",0,"")))))</f>
        <v>0</v>
      </c>
      <c r="M2" s="77">
        <f t="shared" ref="M2:M8" si="0">L2+J2+G2+D2</f>
        <v>29.33</v>
      </c>
      <c r="N2" s="77">
        <f t="shared" ref="N2:N9" si="1">M2*E2</f>
        <v>879.9</v>
      </c>
      <c r="O2" s="77">
        <f t="shared" ref="O2:O8" si="2">N2*52</f>
        <v>45754.799999999996</v>
      </c>
      <c r="P2" s="78">
        <f t="shared" ref="P2:P8" si="3">M2*0.115</f>
        <v>3.3729499999999999</v>
      </c>
      <c r="Q2" s="79">
        <f t="shared" ref="Q2:Q8" si="4">IF(B2="Casual", 0, IF(B2="Full Time/Part Time", N2/52*4/E2, "Invalid Entry"))</f>
        <v>0</v>
      </c>
      <c r="R2" s="79">
        <f t="shared" ref="R2:R8" si="5">Q2*17.5%</f>
        <v>0</v>
      </c>
      <c r="S2" s="79">
        <f t="shared" ref="S2:S8" si="6">IF($B2="Casual", 0, IF($B2="Full Time/Part Time", $N2/52*2/$E2, "Invalid Entry"))</f>
        <v>0</v>
      </c>
      <c r="T2" s="88">
        <f t="shared" ref="T2:T8" si="7" xml:space="preserve"> (0.86667 / 52) * D2</f>
        <v>0.48883521346153846</v>
      </c>
      <c r="U2" s="91">
        <f t="shared" ref="U2:U8" si="8">D2+G2+P2+Q2+AC2</f>
        <v>34.169449999999998</v>
      </c>
      <c r="V2" s="84" t="s">
        <v>81</v>
      </c>
      <c r="W2" s="95">
        <f>IF(V2="YES ACT", 6.85%, IF(V2="YES NSW", 5.45%, IF(V2="NO", 0%, "")))</f>
        <v>5.45E-2</v>
      </c>
      <c r="X2" s="84">
        <f>U2+(W2*U2)</f>
        <v>36.031685024999994</v>
      </c>
      <c r="Y2" s="80" t="s">
        <v>85</v>
      </c>
      <c r="Z2" s="98" cm="1">
        <f t="array" ref="Z2">_xlfn.IFS(
    Y2='Workers Comp'!$A$2, 'Workers Comp'!$D$2,
    Y2='Workers Comp'!$A$3, 'Workers Comp'!$D$3, Y2='Workers Comp'!$A$6, 'Workers Comp'!$D$6,
    Y2='Workers Comp'!$A$7, 'Workers Comp'!$D$7,
    Y2='Workers Comp'!$A$8, 'Workers Comp'!$D$8,
    Y2='Workers Comp'!$A$9, 'Workers Comp'!$D$9,
    Y2='Workers Comp'!$A$10, 'Workers Comp'!$D$10, Y2='Workers Comp'!$A$11, 'Workers Comp'!$D$11
)</f>
        <v>4.8619999999999997E-2</v>
      </c>
      <c r="AA2" s="80">
        <f>(X2*Z2)</f>
        <v>1.7518605259154996</v>
      </c>
      <c r="AB2" s="99">
        <f>AA2+X2</f>
        <v>37.783545550915491</v>
      </c>
      <c r="AC2" s="105">
        <f t="shared" ref="AC2:AC8" si="9">D2*5%</f>
        <v>1.4664999999999999</v>
      </c>
      <c r="AD2" s="109">
        <f t="shared" ref="AD2:AD8" si="10">AB2*E2*52</f>
        <v>58942.331059428165</v>
      </c>
      <c r="AE2" s="110">
        <f>(E2/5)*'Actually Worked Days'!B$8</f>
        <v>25.615384615384613</v>
      </c>
      <c r="AF2" s="109">
        <f t="shared" ref="AF2:AF7" si="11">(AD2/52)/AE2</f>
        <v>44.250999293864993</v>
      </c>
    </row>
    <row r="3" spans="1:36" x14ac:dyDescent="0.25">
      <c r="A3" s="11" t="s">
        <v>23</v>
      </c>
      <c r="B3" s="13" t="s">
        <v>2</v>
      </c>
      <c r="C3" s="13" t="s">
        <v>18</v>
      </c>
      <c r="D3" s="38" cm="1">
        <f t="array" ref="D3">_xlfn.IFS(
   C3="Nursery Award 1A FT/PT", Awards!D$2,
   C3="Nursery Award 1B FT/PT", Awards!D$3,
   C3="Nursery Award 2 FT/PT", Awards!D$4,
   C3="Nursery Award 3 FT/PT", Awards!D$5,
   C3="Nursery Award 4 FT/PT", Awards!D$6,
   C3="Nursery Award 5 FT/PT", Awards!D$7,
   C3="Nursery Award 6 FT/PT", Awards!D$8,
   C3="Nursery Award 1A Casual", Awards!D$9,
   C3="Nursery Award 1B Casual", Awards!D$10,
   C3="Nursery Award 2 Casual", Awards!D$11,
   C3="Nursery Award 3 Casual", Awards!D$12,
   C3="Nursery Award 4 Casual", Awards!D$13,
   C3="Nursery Award 5 Casual", Awards!D$14,
   C3="Nursery Award 6 Casual", Awards!D$15,
   C3="Horticulture Award 1 FT/PT", Awards!D$16,
   C3="Horticulture Award 2 FT/PT", Awards!D$17,
   C3="Horticulture Award 3 FT/PT", Awards!D$18,
   C3="Horticulture Award 4 FT/PT", Awards!D$19,
   C3="Horticulture Award 5 FT/PT", Awards!D$20,
   C3="Horticulture Award 1 Casual", Awards!D$21,
   C3="Horticulture Award 2 Casual", Awards!D$22,
   C3="Horticulture Award 3 Casual", Awards!D$23,
   C3="Horticulture Award 4 Casual", Awards!D$24,
   C3="Horticulture Award 5 Casual", Awards!D$25,
   C3="Retail Award 1 FT/PT", Awards!D$26,
   C3="Retail Award 2 FT/PT", Awards!D$27,
   C3="Retail Award 3 FT/PT", Awards!D$28,
   C3="Retail Award 4 FT/PT", Awards!D$29,
   C3="Retail Award 5 FT/PT", Awards!D$30,
   C3="Retail Award 6 FT/PT", Awards!D$31,
   C3="Retail Award 7 FT/PT", Awards!D$32,
   C3="Retail Award 8 FT/PT", Awards!D$33,
   C3="Retail Award 1 Casual", Awards!D$34,
   C3="Retail Award 2 Casual", Awards!D$35,
   C3="Retail Award 3 Casual", Awards!D$36,
   C3="Retail Award 4 Casual", Awards!D$37,
   C3="Retail Award 5 Casual", Awards!D$38,
   C3="Retail Award 6 Casual",  Awards!D$39,
   C3="Retail Award 7 Casual",  Awards!D$40,
   C3="Retail Award 8 Casual",  Awards!D$41
)</f>
        <v>30.65</v>
      </c>
      <c r="E3" s="44">
        <v>25</v>
      </c>
      <c r="F3" s="41" t="s">
        <v>64</v>
      </c>
      <c r="G3" s="41" cm="1">
        <f t="array" ref="G3">_xlfn.IFS( AND(F3="Yes", ISNUMBER(SEARCH("Nursery Award", TRIM(C3)))), Awards!I$2, AND(F3="Yes", ISNUMBER(SEARCH("Horticulture Award", TRIM(C3)))), Awards!I$4, AND(F3="Yes", ISNUMBER(SEARCH("Retail Award", TRIM(C3)))), Awards!I$10, F3="No", 0, TRUE, 0 )</f>
        <v>0</v>
      </c>
      <c r="H3" s="41" t="s">
        <v>64</v>
      </c>
      <c r="I3" s="67"/>
      <c r="J3" s="41">
        <f t="shared" ref="J3:J8" si="12">I3/(52*38)</f>
        <v>0</v>
      </c>
      <c r="K3" s="41" t="s">
        <v>64</v>
      </c>
      <c r="L3" s="41">
        <f>IF(K3="YES 2-6 Employees",Awards!$I$5,IF(K3="YES 7-10 Employees",Awards!$I$6,IF(K3="YES 11-20 Employees",Awards!$I$7,IF(K3="YES 20+ Employees",Awards!$I$8,IF(K3="No",0,"")))))</f>
        <v>0</v>
      </c>
      <c r="M3" s="46">
        <f t="shared" si="0"/>
        <v>30.65</v>
      </c>
      <c r="N3" s="46">
        <f t="shared" si="1"/>
        <v>766.25</v>
      </c>
      <c r="O3" s="46">
        <f t="shared" si="2"/>
        <v>39845</v>
      </c>
      <c r="P3" s="17">
        <f t="shared" si="3"/>
        <v>3.52475</v>
      </c>
      <c r="Q3" s="20">
        <f t="shared" si="4"/>
        <v>0</v>
      </c>
      <c r="R3" s="20">
        <f t="shared" si="5"/>
        <v>0</v>
      </c>
      <c r="S3" s="20">
        <f t="shared" si="6"/>
        <v>0</v>
      </c>
      <c r="T3" s="89">
        <f t="shared" si="7"/>
        <v>0.51083529807692307</v>
      </c>
      <c r="U3" s="92">
        <f t="shared" si="8"/>
        <v>35.707249999999995</v>
      </c>
      <c r="V3" s="85" t="s">
        <v>81</v>
      </c>
      <c r="W3" s="96">
        <f t="shared" ref="W3:W9" si="13">IF(V3="YES ACT", 6.85%, IF(V3="YES NSW", 5.45%, IF(V3="NO", 0%, "")))</f>
        <v>5.45E-2</v>
      </c>
      <c r="X3" s="85">
        <f t="shared" ref="X3:X8" si="14">U3+(W3*U3)</f>
        <v>37.653295124999993</v>
      </c>
      <c r="Y3" s="23" t="s">
        <v>85</v>
      </c>
      <c r="Z3" s="100" cm="1">
        <f t="array" ref="Z3">_xlfn.IFS(
    Y3='Workers Comp'!$A$2, 'Workers Comp'!$D$2,
    Y3='Workers Comp'!$A$3, 'Workers Comp'!$D$3, Y3='Workers Comp'!$A$6, 'Workers Comp'!$D$6,
    Y3='Workers Comp'!$A$7, 'Workers Comp'!$D$7,
    Y3='Workers Comp'!$A$8, 'Workers Comp'!$D$8,
    Y3='Workers Comp'!$A$9, 'Workers Comp'!$D$9,
    Y3='Workers Comp'!$A$10, 'Workers Comp'!$D$10, Y3='Workers Comp'!$A$11, 'Workers Comp'!$D$11
)</f>
        <v>4.8619999999999997E-2</v>
      </c>
      <c r="AA3" s="23">
        <f t="shared" ref="AA3:AA9" si="15">(X3*Z3)</f>
        <v>1.8307032089774995</v>
      </c>
      <c r="AB3" s="101">
        <f t="shared" ref="AB3:AB9" si="16">AA3+X3</f>
        <v>39.483998333977489</v>
      </c>
      <c r="AC3" s="106">
        <f t="shared" si="9"/>
        <v>1.5325</v>
      </c>
      <c r="AD3" s="111">
        <f t="shared" si="10"/>
        <v>51329.197834170736</v>
      </c>
      <c r="AE3" s="112">
        <f>(E3/5)*'Actually Worked Days'!B$8</f>
        <v>21.346153846153847</v>
      </c>
      <c r="AF3" s="111">
        <f t="shared" si="11"/>
        <v>46.242520571324988</v>
      </c>
    </row>
    <row r="4" spans="1:36" x14ac:dyDescent="0.25">
      <c r="A4" s="11" t="s">
        <v>24</v>
      </c>
      <c r="B4" s="13" t="s">
        <v>2</v>
      </c>
      <c r="C4" s="13" t="s">
        <v>32</v>
      </c>
      <c r="D4" s="38" cm="1">
        <f t="array" ref="D4">_xlfn.IFS(
   C4="Nursery Award 1A FT/PT", Awards!D$2,
   C4="Nursery Award 1B FT/PT", Awards!D$3,
   C4="Nursery Award 2 FT/PT", Awards!D$4,
   C4="Nursery Award 3 FT/PT", Awards!D$5,
   C4="Nursery Award 4 FT/PT", Awards!D$6,
   C4="Nursery Award 5 FT/PT", Awards!D$7,
   C4="Nursery Award 6 FT/PT", Awards!D$8,
   C4="Nursery Award 1A Casual", Awards!D$9,
   C4="Nursery Award 1B Casual", Awards!D$10,
   C4="Nursery Award 2 Casual", Awards!D$11,
   C4="Nursery Award 3 Casual", Awards!D$12,
   C4="Nursery Award 4 Casual", Awards!D$13,
   C4="Nursery Award 5 Casual", Awards!D$14,
   C4="Nursery Award 6 Casual", Awards!D$15,
   C4="Horticulture Award 1 FT/PT", Awards!D$16,
   C4="Horticulture Award 2 FT/PT", Awards!D$17,
   C4="Horticulture Award 3 FT/PT", Awards!D$18,
   C4="Horticulture Award 4 FT/PT", Awards!D$19,
   C4="Horticulture Award 5 FT/PT", Awards!D$20,
   C4="Horticulture Award 1 Casual", Awards!D$21,
   C4="Horticulture Award 2 Casual", Awards!D$22,
   C4="Horticulture Award 3 Casual", Awards!D$23,
   C4="Horticulture Award 4 Casual", Awards!D$24,
   C4="Horticulture Award 5 Casual", Awards!D$25,
   C4="Retail Award 1 FT/PT", Awards!D$26,
   C4="Retail Award 2 FT/PT", Awards!D$27,
   C4="Retail Award 3 FT/PT", Awards!D$28,
   C4="Retail Award 4 FT/PT", Awards!D$29,
   C4="Retail Award 5 FT/PT", Awards!D$30,
   C4="Retail Award 6 FT/PT", Awards!D$31,
   C4="Retail Award 7 FT/PT", Awards!D$32,
   C4="Retail Award 8 FT/PT", Awards!D$33,
   C4="Retail Award 1 Casual", Awards!D$34,
   C4="Retail Award 2 Casual", Awards!D$35,
   C4="Retail Award 3 Casual", Awards!D$36,
   C4="Retail Award 4 Casual", Awards!D$37,
   C4="Retail Award 5 Casual", Awards!D$38,
   C4="Retail Award 6 Casual",  Awards!D$39,
   C4="Retail Award 7 Casual",  Awards!D$40,
   C4="Retail Award 8 Casual",  Awards!D$41
)</f>
        <v>32.06</v>
      </c>
      <c r="E4" s="44">
        <v>20</v>
      </c>
      <c r="F4" s="41" t="s">
        <v>64</v>
      </c>
      <c r="G4" s="41" cm="1">
        <f t="array" ref="G4">_xlfn.IFS( AND(F4="Yes", ISNUMBER(SEARCH("Nursery Award", TRIM(C4)))), Awards!I$2, AND(F4="Yes", ISNUMBER(SEARCH("Horticulture Award", TRIM(C4)))), Awards!I$4, AND(F4="Yes", ISNUMBER(SEARCH("Retail Award", TRIM(C4)))), Awards!I$10, F4="No", 0, TRUE, 0 )</f>
        <v>0</v>
      </c>
      <c r="H4" s="41" t="s">
        <v>64</v>
      </c>
      <c r="I4" s="67"/>
      <c r="J4" s="41">
        <f t="shared" si="12"/>
        <v>0</v>
      </c>
      <c r="K4" s="41" t="s">
        <v>64</v>
      </c>
      <c r="L4" s="41">
        <f>IF(K4="YES 2-6 Employees",Awards!$I$5,IF(K4="YES 7-10 Employees",Awards!$I$6,IF(K4="YES 11-20 Employees",Awards!$I$7,IF(K4="YES 20+ Employees",Awards!$I$8,IF(K4="No",0,"")))))</f>
        <v>0</v>
      </c>
      <c r="M4" s="46">
        <f t="shared" si="0"/>
        <v>32.06</v>
      </c>
      <c r="N4" s="46">
        <f t="shared" si="1"/>
        <v>641.20000000000005</v>
      </c>
      <c r="O4" s="46">
        <f t="shared" si="2"/>
        <v>33342.400000000001</v>
      </c>
      <c r="P4" s="17">
        <f t="shared" si="3"/>
        <v>3.6869000000000005</v>
      </c>
      <c r="Q4" s="20">
        <f t="shared" si="4"/>
        <v>0</v>
      </c>
      <c r="R4" s="20">
        <f t="shared" si="5"/>
        <v>0</v>
      </c>
      <c r="S4" s="20">
        <f t="shared" si="6"/>
        <v>0</v>
      </c>
      <c r="T4" s="89">
        <f t="shared" si="7"/>
        <v>0.5343353884615385</v>
      </c>
      <c r="U4" s="92">
        <f t="shared" si="8"/>
        <v>37.349900000000005</v>
      </c>
      <c r="V4" s="85" t="s">
        <v>81</v>
      </c>
      <c r="W4" s="96">
        <f t="shared" si="13"/>
        <v>5.45E-2</v>
      </c>
      <c r="X4" s="85">
        <f t="shared" si="14"/>
        <v>39.385469550000003</v>
      </c>
      <c r="Y4" s="23" t="s">
        <v>85</v>
      </c>
      <c r="Z4" s="100" cm="1">
        <f t="array" ref="Z4">_xlfn.IFS(
    Y4='Workers Comp'!$A$2, 'Workers Comp'!$D$2,
    Y4='Workers Comp'!$A$3, 'Workers Comp'!$D$3, Y4='Workers Comp'!$A$6, 'Workers Comp'!$D$6,
    Y4='Workers Comp'!$A$7, 'Workers Comp'!$D$7,
    Y4='Workers Comp'!$A$8, 'Workers Comp'!$D$8,
    Y4='Workers Comp'!$A$9, 'Workers Comp'!$D$9,
    Y4='Workers Comp'!$A$10, 'Workers Comp'!$D$10, Y4='Workers Comp'!$A$11, 'Workers Comp'!$D$11
)</f>
        <v>4.8619999999999997E-2</v>
      </c>
      <c r="AA4" s="23">
        <f t="shared" si="15"/>
        <v>1.914921529521</v>
      </c>
      <c r="AB4" s="101">
        <f t="shared" si="16"/>
        <v>41.300391079521006</v>
      </c>
      <c r="AC4" s="106">
        <f t="shared" si="9"/>
        <v>1.6030000000000002</v>
      </c>
      <c r="AD4" s="111">
        <f t="shared" si="10"/>
        <v>42952.406722701846</v>
      </c>
      <c r="AE4" s="112">
        <f>(E4/5)*'Actually Worked Days'!B$8</f>
        <v>17.076923076923077</v>
      </c>
      <c r="AF4" s="111">
        <f t="shared" si="11"/>
        <v>48.369827390430011</v>
      </c>
    </row>
    <row r="5" spans="1:36" x14ac:dyDescent="0.25">
      <c r="A5" s="11" t="s">
        <v>25</v>
      </c>
      <c r="B5" s="13" t="s">
        <v>15</v>
      </c>
      <c r="C5" s="13" t="s">
        <v>29</v>
      </c>
      <c r="D5" s="38" cm="1">
        <f t="array" ref="D5">_xlfn.IFS(
   C5="Nursery Award 1A FT/PT", Awards!D$2,
   C5="Nursery Award 1B FT/PT", Awards!D$3,
   C5="Nursery Award 2 FT/PT", Awards!D$4,
   C5="Nursery Award 3 FT/PT", Awards!D$5,
   C5="Nursery Award 4 FT/PT", Awards!D$6,
   C5="Nursery Award 5 FT/PT", Awards!D$7,
   C5="Nursery Award 6 FT/PT", Awards!D$8,
   C5="Nursery Award 1A Casual", Awards!D$9,
   C5="Nursery Award 1B Casual", Awards!D$10,
   C5="Nursery Award 2 Casual", Awards!D$11,
   C5="Nursery Award 3 Casual", Awards!D$12,
   C5="Nursery Award 4 Casual", Awards!D$13,
   C5="Nursery Award 5 Casual", Awards!D$14,
   C5="Nursery Award 6 Casual", Awards!D$15,
   C5="Horticulture Award 1 FT/PT", Awards!D$16,
   C5="Horticulture Award 2 FT/PT", Awards!D$17,
   C5="Horticulture Award 3 FT/PT", Awards!D$18,
   C5="Horticulture Award 4 FT/PT", Awards!D$19,
   C5="Horticulture Award 5 FT/PT", Awards!D$20,
   C5="Horticulture Award 1 Casual", Awards!D$21,
   C5="Horticulture Award 2 Casual", Awards!D$22,
   C5="Horticulture Award 3 Casual", Awards!D$23,
   C5="Horticulture Award 4 Casual", Awards!D$24,
   C5="Horticulture Award 5 Casual", Awards!D$25,
   C5="Retail Award 1 FT/PT", Awards!D$26,
   C5="Retail Award 2 FT/PT", Awards!D$27,
   C5="Retail Award 3 FT/PT", Awards!D$28,
   C5="Retail Award 4 FT/PT", Awards!D$29,
   C5="Retail Award 5 FT/PT", Awards!D$30,
   C5="Retail Award 6 FT/PT", Awards!D$31,
   C5="Retail Award 7 FT/PT", Awards!D$32,
   C5="Retail Award 8 FT/PT", Awards!D$33,
   C5="Retail Award 1 Casual", Awards!D$34,
   C5="Retail Award 2 Casual", Awards!D$35,
   C5="Retail Award 3 Casual", Awards!D$36,
   C5="Retail Award 4 Casual", Awards!D$37,
   C5="Retail Award 5 Casual", Awards!D$38,
   C5="Retail Award 6 Casual",  Awards!D$39,
   C5="Retail Award 7 Casual",  Awards!D$40,
   C5="Retail Award 8 Casual",  Awards!D$41
)</f>
        <v>25.65</v>
      </c>
      <c r="E5" s="44">
        <v>30</v>
      </c>
      <c r="F5" s="41" t="s">
        <v>62</v>
      </c>
      <c r="G5" s="41" cm="1">
        <f t="array" ref="G5">_xlfn.IFS( AND(F5="Yes", ISNUMBER(SEARCH("Nursery Award", TRIM(C5)))), Awards!I$2, AND(F5="Yes", ISNUMBER(SEARCH("Horticulture Award", TRIM(C5)))), Awards!I$4, AND(F5="Yes", ISNUMBER(SEARCH("Retail Award", TRIM(C5)))), Awards!I$10, F5="No", 0, TRUE, 0 )</f>
        <v>0.45157894736842108</v>
      </c>
      <c r="H5" s="41" t="s">
        <v>64</v>
      </c>
      <c r="I5" s="67"/>
      <c r="J5" s="41">
        <f t="shared" si="12"/>
        <v>0</v>
      </c>
      <c r="K5" s="41" t="s">
        <v>64</v>
      </c>
      <c r="L5" s="41">
        <f>IF(K5="YES 2-6 Employees",Awards!$I$5,IF(K5="YES 7-10 Employees",Awards!$I$6,IF(K5="YES 11-20 Employees",Awards!$I$7,IF(K5="YES 20+ Employees",Awards!$I$8,IF(K5="No",0,"")))))</f>
        <v>0</v>
      </c>
      <c r="M5" s="46">
        <f t="shared" si="0"/>
        <v>26.10157894736842</v>
      </c>
      <c r="N5" s="46">
        <f t="shared" si="1"/>
        <v>783.04736842105262</v>
      </c>
      <c r="O5" s="46">
        <f t="shared" si="2"/>
        <v>40718.463157894737</v>
      </c>
      <c r="P5" s="17">
        <f t="shared" si="3"/>
        <v>3.0016815789473683</v>
      </c>
      <c r="Q5" s="20">
        <f t="shared" si="4"/>
        <v>2.0078137651821861</v>
      </c>
      <c r="R5" s="20">
        <f t="shared" si="5"/>
        <v>0.35136740890688256</v>
      </c>
      <c r="S5" s="20">
        <f t="shared" si="6"/>
        <v>1.0039068825910931</v>
      </c>
      <c r="T5" s="89">
        <f t="shared" si="7"/>
        <v>0.42750164423076925</v>
      </c>
      <c r="U5" s="92">
        <f t="shared" si="8"/>
        <v>32.393574291497977</v>
      </c>
      <c r="V5" s="85" t="s">
        <v>81</v>
      </c>
      <c r="W5" s="96">
        <f t="shared" si="13"/>
        <v>5.45E-2</v>
      </c>
      <c r="X5" s="85">
        <f t="shared" si="14"/>
        <v>34.159024090384619</v>
      </c>
      <c r="Y5" s="23" t="s">
        <v>85</v>
      </c>
      <c r="Z5" s="100" cm="1">
        <f t="array" ref="Z5">_xlfn.IFS(
    Y5='Workers Comp'!$A$2, 'Workers Comp'!$D$2,
    Y5='Workers Comp'!$A$3, 'Workers Comp'!$D$3, Y5='Workers Comp'!$A$6, 'Workers Comp'!$D$6,
    Y5='Workers Comp'!$A$7, 'Workers Comp'!$D$7,
    Y5='Workers Comp'!$A$8, 'Workers Comp'!$D$8,
    Y5='Workers Comp'!$A$9, 'Workers Comp'!$D$9,
    Y5='Workers Comp'!$A$10, 'Workers Comp'!$D$10, Y5='Workers Comp'!$A$11, 'Workers Comp'!$D$11
)</f>
        <v>4.8619999999999997E-2</v>
      </c>
      <c r="AA5" s="23">
        <f t="shared" si="15"/>
        <v>1.6608117512745</v>
      </c>
      <c r="AB5" s="101">
        <f t="shared" si="16"/>
        <v>35.81983584165912</v>
      </c>
      <c r="AC5" s="106">
        <f t="shared" si="9"/>
        <v>1.2825</v>
      </c>
      <c r="AD5" s="111">
        <f t="shared" si="10"/>
        <v>55878.943912988223</v>
      </c>
      <c r="AE5" s="112">
        <f>(E5/5)*'Actually Worked Days'!B$8</f>
        <v>25.615384615384613</v>
      </c>
      <c r="AF5" s="111">
        <f t="shared" si="11"/>
        <v>41.95115909383501</v>
      </c>
    </row>
    <row r="6" spans="1:36" x14ac:dyDescent="0.25">
      <c r="A6" s="11" t="s">
        <v>26</v>
      </c>
      <c r="B6" s="13" t="s">
        <v>15</v>
      </c>
      <c r="C6" s="13" t="s">
        <v>17</v>
      </c>
      <c r="D6" s="38" cm="1">
        <f t="array" ref="D6">_xlfn.IFS(
   C6="Nursery Award 1A FT/PT", Awards!D$2,
   C6="Nursery Award 1B FT/PT", Awards!D$3,
   C6="Nursery Award 2 FT/PT", Awards!D$4,
   C6="Nursery Award 3 FT/PT", Awards!D$5,
   C6="Nursery Award 4 FT/PT", Awards!D$6,
   C6="Nursery Award 5 FT/PT", Awards!D$7,
   C6="Nursery Award 6 FT/PT", Awards!D$8,
   C6="Nursery Award 1A Casual", Awards!D$9,
   C6="Nursery Award 1B Casual", Awards!D$10,
   C6="Nursery Award 2 Casual", Awards!D$11,
   C6="Nursery Award 3 Casual", Awards!D$12,
   C6="Nursery Award 4 Casual", Awards!D$13,
   C6="Nursery Award 5 Casual", Awards!D$14,
   C6="Nursery Award 6 Casual", Awards!D$15,
   C6="Horticulture Award 1 FT/PT", Awards!D$16,
   C6="Horticulture Award 2 FT/PT", Awards!D$17,
   C6="Horticulture Award 3 FT/PT", Awards!D$18,
   C6="Horticulture Award 4 FT/PT", Awards!D$19,
   C6="Horticulture Award 5 FT/PT", Awards!D$20,
   C6="Horticulture Award 1 Casual", Awards!D$21,
   C6="Horticulture Award 2 Casual", Awards!D$22,
   C6="Horticulture Award 3 Casual", Awards!D$23,
   C6="Horticulture Award 4 Casual", Awards!D$24,
   C6="Horticulture Award 5 Casual", Awards!D$25,
   C6="Retail Award 1 FT/PT", Awards!D$26,
   C6="Retail Award 2 FT/PT", Awards!D$27,
   C6="Retail Award 3 FT/PT", Awards!D$28,
   C6="Retail Award 4 FT/PT", Awards!D$29,
   C6="Retail Award 5 FT/PT", Awards!D$30,
   C6="Retail Award 6 FT/PT", Awards!D$31,
   C6="Retail Award 7 FT/PT", Awards!D$32,
   C6="Retail Award 8 FT/PT", Awards!D$33,
   C6="Retail Award 1 Casual", Awards!D$34,
   C6="Retail Award 2 Casual", Awards!D$35,
   C6="Retail Award 3 Casual", Awards!D$36,
   C6="Retail Award 4 Casual", Awards!D$37,
   C6="Retail Award 5 Casual", Awards!D$38,
   C6="Retail Award 6 Casual",  Awards!D$39,
   C6="Retail Award 7 Casual",  Awards!D$40,
   C6="Retail Award 8 Casual",  Awards!D$41
)</f>
        <v>30.01</v>
      </c>
      <c r="E6" s="44">
        <v>38</v>
      </c>
      <c r="F6" s="41" t="s">
        <v>62</v>
      </c>
      <c r="G6" s="41" cm="1">
        <f t="array" ref="G6">_xlfn.IFS( AND(F6="Yes", ISNUMBER(SEARCH("Nursery Award", TRIM(C6)))), Awards!I$2, AND(F6="Yes", ISNUMBER(SEARCH("Horticulture Award", TRIM(C6)))), Awards!I$4, AND(F6="Yes", ISNUMBER(SEARCH("Retail Award", TRIM(C6)))), Awards!I$10, F6="No", 0, TRUE, 0 )</f>
        <v>0.45157894736842108</v>
      </c>
      <c r="H6" s="41" t="s">
        <v>62</v>
      </c>
      <c r="I6" s="66">
        <v>10000</v>
      </c>
      <c r="J6" s="41">
        <f t="shared" si="12"/>
        <v>5.0607287449392713</v>
      </c>
      <c r="K6" s="41" t="s">
        <v>64</v>
      </c>
      <c r="L6" s="41">
        <f>IF(K6="YES 2-6 Employees",Awards!$I$5,IF(K6="YES 7-10 Employees",Awards!$I$6,IF(K6="YES 11-20 Employees",Awards!$I$7,IF(K6="YES 20+ Employees",Awards!$I$8,IF(K6="No",0,"")))))</f>
        <v>0</v>
      </c>
      <c r="M6" s="46">
        <f t="shared" si="0"/>
        <v>35.522307692307692</v>
      </c>
      <c r="N6" s="46">
        <f t="shared" si="1"/>
        <v>1349.8476923076923</v>
      </c>
      <c r="O6" s="46">
        <f t="shared" si="2"/>
        <v>70192.08</v>
      </c>
      <c r="P6" s="17">
        <f t="shared" si="3"/>
        <v>4.085065384615385</v>
      </c>
      <c r="Q6" s="20">
        <f t="shared" si="4"/>
        <v>2.7324852071005918</v>
      </c>
      <c r="R6" s="20">
        <f t="shared" si="5"/>
        <v>0.47818491124260354</v>
      </c>
      <c r="S6" s="20">
        <f t="shared" si="6"/>
        <v>1.3662426035502959</v>
      </c>
      <c r="T6" s="89">
        <f t="shared" si="7"/>
        <v>0.50016859038461547</v>
      </c>
      <c r="U6" s="92">
        <f t="shared" si="8"/>
        <v>38.779629539084404</v>
      </c>
      <c r="V6" s="85" t="s">
        <v>81</v>
      </c>
      <c r="W6" s="96">
        <f t="shared" si="13"/>
        <v>5.45E-2</v>
      </c>
      <c r="X6" s="85">
        <f t="shared" si="14"/>
        <v>40.893119348964504</v>
      </c>
      <c r="Y6" s="23" t="s">
        <v>85</v>
      </c>
      <c r="Z6" s="100" cm="1">
        <f t="array" ref="Z6">_xlfn.IFS(
    Y6='Workers Comp'!$A$2, 'Workers Comp'!$D$2,
    Y6='Workers Comp'!$A$3, 'Workers Comp'!$D$3, Y6='Workers Comp'!$A$6, 'Workers Comp'!$D$6,
    Y6='Workers Comp'!$A$7, 'Workers Comp'!$D$7,
    Y6='Workers Comp'!$A$8, 'Workers Comp'!$D$8,
    Y6='Workers Comp'!$A$9, 'Workers Comp'!$D$9,
    Y6='Workers Comp'!$A$10, 'Workers Comp'!$D$10, Y6='Workers Comp'!$A$11, 'Workers Comp'!$D$11
)</f>
        <v>4.8619999999999997E-2</v>
      </c>
      <c r="AA6" s="23">
        <f t="shared" si="15"/>
        <v>1.988223462746654</v>
      </c>
      <c r="AB6" s="101">
        <f t="shared" si="16"/>
        <v>42.881342811711157</v>
      </c>
      <c r="AC6" s="106">
        <f t="shared" si="9"/>
        <v>1.5005000000000002</v>
      </c>
      <c r="AD6" s="111">
        <f t="shared" si="10"/>
        <v>84733.533395941253</v>
      </c>
      <c r="AE6" s="112">
        <f>(E6/5)*'Actually Worked Days'!B$8</f>
        <v>32.446153846153841</v>
      </c>
      <c r="AF6" s="111">
        <f t="shared" si="11"/>
        <v>50.22139248218425</v>
      </c>
    </row>
    <row r="7" spans="1:36" x14ac:dyDescent="0.25">
      <c r="A7" s="11" t="s">
        <v>77</v>
      </c>
      <c r="B7" s="13" t="s">
        <v>15</v>
      </c>
      <c r="C7" s="13" t="s">
        <v>45</v>
      </c>
      <c r="D7" s="38" cm="1">
        <f t="array" ref="D7">_xlfn.IFS(
   C7="Nursery Award 1A FT/PT", Awards!D$2,
   C7="Nursery Award 1B FT/PT", Awards!D$3,
   C7="Nursery Award 2 FT/PT", Awards!D$4,
   C7="Nursery Award 3 FT/PT", Awards!D$5,
   C7="Nursery Award 4 FT/PT", Awards!D$6,
   C7="Nursery Award 5 FT/PT", Awards!D$7,
   C7="Nursery Award 6 FT/PT", Awards!D$8,
   C7="Nursery Award 1A Casual", Awards!D$9,
   C7="Nursery Award 1B Casual", Awards!D$10,
   C7="Nursery Award 2 Casual", Awards!D$11,
   C7="Nursery Award 3 Casual", Awards!D$12,
   C7="Nursery Award 4 Casual", Awards!D$13,
   C7="Nursery Award 5 Casual", Awards!D$14,
   C7="Nursery Award 6 Casual", Awards!D$15,
   C7="Horticulture Award 1 FT/PT", Awards!D$16,
   C7="Horticulture Award 2 FT/PT", Awards!D$17,
   C7="Horticulture Award 3 FT/PT", Awards!D$18,
   C7="Horticulture Award 4 FT/PT", Awards!D$19,
   C7="Horticulture Award 5 FT/PT", Awards!D$20,
   C7="Horticulture Award 1 Casual", Awards!D$21,
   C7="Horticulture Award 2 Casual", Awards!D$22,
   C7="Horticulture Award 3 Casual", Awards!D$23,
   C7="Horticulture Award 4 Casual", Awards!D$24,
   C7="Horticulture Award 5 Casual", Awards!D$25,
   C7="Retail Award 1 FT/PT", Awards!D$26,
   C7="Retail Award 2 FT/PT", Awards!D$27,
   C7="Retail Award 3 FT/PT", Awards!D$28,
   C7="Retail Award 4 FT/PT", Awards!D$29,
   C7="Retail Award 5 FT/PT", Awards!D$30,
   C7="Retail Award 6 FT/PT", Awards!D$31,
   C7="Retail Award 7 FT/PT", Awards!D$32,
   C7="Retail Award 8 FT/PT", Awards!D$33,
   C7="Retail Award 1 Casual", Awards!D$34,
   C7="Retail Award 2 Casual", Awards!D$35,
   C7="Retail Award 3 Casual", Awards!D$36,
   C7="Retail Award 4 Casual", Awards!D$37,
   C7="Retail Award 5 Casual", Awards!D$38,
   C7="Retail Award 6 Casual",  Awards!D$39,
   C7="Retail Award 7 Casual",  Awards!D$40,
   C7="Retail Award 8 Casual",  Awards!D$41
)</f>
        <v>23.46</v>
      </c>
      <c r="E7" s="44">
        <v>38</v>
      </c>
      <c r="F7" s="41" t="s">
        <v>64</v>
      </c>
      <c r="G7" s="41" cm="1">
        <f t="array" ref="G7">_xlfn.IFS( AND(F7="Yes", ISNUMBER(SEARCH("Nursery Award", TRIM(C7)))), Awards!I$2, AND(F7="Yes", ISNUMBER(SEARCH("Horticulture Award", TRIM(C7)))), Awards!I$4, AND(F7="Yes", ISNUMBER(SEARCH("Retail Award", TRIM(C7)))), Awards!I$10, F7="No", 0, TRUE, 0 )</f>
        <v>0</v>
      </c>
      <c r="H7" s="41" t="s">
        <v>64</v>
      </c>
      <c r="I7" s="67"/>
      <c r="J7" s="41">
        <f t="shared" si="12"/>
        <v>0</v>
      </c>
      <c r="K7" s="41" t="s">
        <v>126</v>
      </c>
      <c r="L7" s="41">
        <f>IF(K7="YES 2-6 Employees",Awards!$I$5,IF(K7="YES 7-10 Employees",Awards!$I$6,IF(K7="YES 11-20 Employees",Awards!$I$7,IF(K7="YES 20+ Employees",Awards!$I$8,IF(K7="No",0,"")))))</f>
        <v>0.73</v>
      </c>
      <c r="M7" s="46">
        <f t="shared" si="0"/>
        <v>24.19</v>
      </c>
      <c r="N7" s="46">
        <f t="shared" si="1"/>
        <v>919.22</v>
      </c>
      <c r="O7" s="46">
        <f t="shared" si="2"/>
        <v>47799.44</v>
      </c>
      <c r="P7" s="17">
        <f t="shared" si="3"/>
        <v>2.7818500000000004</v>
      </c>
      <c r="Q7" s="20">
        <f t="shared" si="4"/>
        <v>1.8607692307692307</v>
      </c>
      <c r="R7" s="20">
        <f t="shared" si="5"/>
        <v>0.32563461538461536</v>
      </c>
      <c r="S7" s="20">
        <f t="shared" si="6"/>
        <v>0.93038461538461537</v>
      </c>
      <c r="T7" s="89">
        <f t="shared" si="7"/>
        <v>0.3910015038461539</v>
      </c>
      <c r="U7" s="92">
        <f t="shared" si="8"/>
        <v>29.27561923076923</v>
      </c>
      <c r="V7" s="85" t="s">
        <v>81</v>
      </c>
      <c r="W7" s="96">
        <f t="shared" si="13"/>
        <v>5.45E-2</v>
      </c>
      <c r="X7" s="85">
        <f t="shared" si="14"/>
        <v>30.871140478846154</v>
      </c>
      <c r="Y7" s="23" t="s">
        <v>85</v>
      </c>
      <c r="Z7" s="100" cm="1">
        <f t="array" ref="Z7">_xlfn.IFS(
    Y7='Workers Comp'!$A$2, 'Workers Comp'!$D$2,
    Y7='Workers Comp'!$A$3, 'Workers Comp'!$D$3, Y7='Workers Comp'!$A$6, 'Workers Comp'!$D$6,
    Y7='Workers Comp'!$A$7, 'Workers Comp'!$D$7,
    Y7='Workers Comp'!$A$8, 'Workers Comp'!$D$8,
    Y7='Workers Comp'!$A$9, 'Workers Comp'!$D$9,
    Y7='Workers Comp'!$A$10, 'Workers Comp'!$D$10, Y7='Workers Comp'!$A$11, 'Workers Comp'!$D$11
)</f>
        <v>4.8619999999999997E-2</v>
      </c>
      <c r="AA7" s="23">
        <f t="shared" si="15"/>
        <v>1.5009548500815</v>
      </c>
      <c r="AB7" s="101">
        <f t="shared" si="16"/>
        <v>32.372095328927657</v>
      </c>
      <c r="AC7" s="106">
        <f t="shared" si="9"/>
        <v>1.173</v>
      </c>
      <c r="AD7" s="111">
        <f t="shared" si="10"/>
        <v>63967.260369961048</v>
      </c>
      <c r="AE7" s="112">
        <f>(E7/5)*'Actually Worked Days'!B$8</f>
        <v>32.446153846153841</v>
      </c>
      <c r="AF7" s="111">
        <f t="shared" si="11"/>
        <v>37.913264799645006</v>
      </c>
    </row>
    <row r="8" spans="1:36" x14ac:dyDescent="0.25">
      <c r="A8" s="11" t="s">
        <v>79</v>
      </c>
      <c r="B8" s="13" t="s">
        <v>15</v>
      </c>
      <c r="C8" s="81" t="s">
        <v>80</v>
      </c>
      <c r="D8" s="38">
        <f>70000/(E8*52)</f>
        <v>35.425101214574902</v>
      </c>
      <c r="E8" s="44">
        <v>38</v>
      </c>
      <c r="F8" s="41" t="s">
        <v>64</v>
      </c>
      <c r="G8" s="41" cm="1">
        <f t="array" ref="G8">_xlfn.IFS( AND(F8="Yes", ISNUMBER(SEARCH("Nursery Award", TRIM(C8)))), Awards!I$2, AND(F8="Yes", ISNUMBER(SEARCH("Horticulture Award", TRIM(C8)))), Awards!I$4, AND(F8="Yes", ISNUMBER(SEARCH("Retail Award", TRIM(C8)))), Awards!I$10, F8="No", 0, TRUE, 0 )</f>
        <v>0</v>
      </c>
      <c r="H8" s="41"/>
      <c r="I8" s="67"/>
      <c r="J8" s="41">
        <f t="shared" si="12"/>
        <v>0</v>
      </c>
      <c r="K8" s="41" t="s">
        <v>64</v>
      </c>
      <c r="L8" s="41">
        <f>IF(K8="YES 2-6 Employees",Awards!$I$5,IF(K8="YES 7-10 Employees",Awards!$I$6,IF(K8="YES 11-20 Employees",Awards!$I$7,IF(K8="YES 20+ Employees",Awards!$I$8,IF(K8="No",0,"")))))</f>
        <v>0</v>
      </c>
      <c r="M8" s="46">
        <f t="shared" si="0"/>
        <v>35.425101214574902</v>
      </c>
      <c r="N8" s="46">
        <f t="shared" si="1"/>
        <v>1346.1538461538462</v>
      </c>
      <c r="O8" s="46">
        <f t="shared" si="2"/>
        <v>70000</v>
      </c>
      <c r="P8" s="17">
        <f t="shared" si="3"/>
        <v>4.0738866396761138</v>
      </c>
      <c r="Q8" s="20">
        <f t="shared" si="4"/>
        <v>2.7250077857365311</v>
      </c>
      <c r="R8" s="20">
        <f t="shared" si="5"/>
        <v>0.47687636250389293</v>
      </c>
      <c r="S8" s="20">
        <f t="shared" si="6"/>
        <v>1.3625038928682656</v>
      </c>
      <c r="T8" s="89">
        <f t="shared" si="7"/>
        <v>0.59042062441606991</v>
      </c>
      <c r="U8" s="92">
        <f t="shared" si="8"/>
        <v>43.995250700716291</v>
      </c>
      <c r="V8" s="85" t="s">
        <v>81</v>
      </c>
      <c r="W8" s="96">
        <f t="shared" si="13"/>
        <v>5.45E-2</v>
      </c>
      <c r="X8" s="85">
        <f t="shared" si="14"/>
        <v>46.39299186390533</v>
      </c>
      <c r="Y8" s="23" t="s">
        <v>131</v>
      </c>
      <c r="Z8" s="100" cm="1">
        <f t="array" ref="Z8">_xlfn.IFS(
    Y8='Workers Comp'!$A$2, 'Workers Comp'!$D$2,
    Y8='Workers Comp'!$A$3, 'Workers Comp'!$D$3, Y8='Workers Comp'!$A$6, 'Workers Comp'!$D$6,
    Y8='Workers Comp'!$A$7, 'Workers Comp'!$D$7,
    Y8='Workers Comp'!$A$8, 'Workers Comp'!$D$8,
    Y8='Workers Comp'!$A$9, 'Workers Comp'!$D$9,
    Y8='Workers Comp'!$A$10, 'Workers Comp'!$D$10, Y8='Workers Comp'!$A$11, 'Workers Comp'!$D$11
)</f>
        <v>6.8599999999999998E-3</v>
      </c>
      <c r="AA8" s="23">
        <f t="shared" si="15"/>
        <v>0.31825592418639054</v>
      </c>
      <c r="AB8" s="101">
        <f t="shared" si="16"/>
        <v>46.711247788091718</v>
      </c>
      <c r="AC8" s="106">
        <f t="shared" si="9"/>
        <v>1.7712550607287452</v>
      </c>
      <c r="AD8" s="111">
        <f t="shared" si="10"/>
        <v>92301.42562926923</v>
      </c>
      <c r="AE8" s="112">
        <f>(E8/5)*'Actually Worked Days'!B$8</f>
        <v>32.446153846153841</v>
      </c>
      <c r="AF8" s="111"/>
    </row>
    <row r="9" spans="1:36" ht="15.75" thickBot="1" x14ac:dyDescent="0.3">
      <c r="A9" s="12"/>
      <c r="B9" s="60"/>
      <c r="C9" s="60"/>
      <c r="D9" s="39"/>
      <c r="E9" s="45"/>
      <c r="F9" s="42"/>
      <c r="G9" s="42" cm="1">
        <f t="array" ref="G9">_xlfn.IFS( AND(F9="Yes", ISNUMBER(SEARCH("Nursery Award", TRIM(C9)))), Awards!I$2, AND(F9="Yes", ISNUMBER(SEARCH("Horticulture Award", TRIM(C9)))), Awards!I$4, AND(F9="Yes", ISNUMBER(SEARCH("Retail Award", TRIM(C9)))), Awards!I$10, F9="No", 0, TRUE, 0 )</f>
        <v>0</v>
      </c>
      <c r="H9" s="42"/>
      <c r="I9" s="68"/>
      <c r="J9" s="42"/>
      <c r="K9" s="42"/>
      <c r="L9" s="42"/>
      <c r="M9" s="47"/>
      <c r="N9" s="47">
        <f t="shared" si="1"/>
        <v>0</v>
      </c>
      <c r="O9" s="47"/>
      <c r="P9" s="18"/>
      <c r="Q9" s="21"/>
      <c r="R9" s="21"/>
      <c r="S9" s="21"/>
      <c r="T9" s="90"/>
      <c r="U9" s="93"/>
      <c r="V9" s="86"/>
      <c r="W9" s="86" t="str">
        <f t="shared" si="13"/>
        <v/>
      </c>
      <c r="X9" s="86"/>
      <c r="Y9" s="24"/>
      <c r="Z9" s="102" cm="1">
        <f t="array" ref="Z9">_xlfn.IFS(
    Y9='Workers Comp'!$A$2, 'Workers Comp'!$D$2,
    Y9='Workers Comp'!$A$3, 'Workers Comp'!$D$3, Y9='Workers Comp'!$A$6, 'Workers Comp'!$D$6,
    Y9='Workers Comp'!$A$7, 'Workers Comp'!$D$7,
    Y9='Workers Comp'!$A$8, 'Workers Comp'!$D$8,
    Y9='Workers Comp'!$A$9, 'Workers Comp'!$D$9,
    Y9='Workers Comp'!$A$10, 'Workers Comp'!$D$10, Y9='Workers Comp'!$A$11, 'Workers Comp'!$D$11
)</f>
        <v>0</v>
      </c>
      <c r="AA9" s="24">
        <f t="shared" si="15"/>
        <v>0</v>
      </c>
      <c r="AB9" s="103">
        <f t="shared" si="16"/>
        <v>0</v>
      </c>
      <c r="AC9" s="107"/>
      <c r="AD9" s="113"/>
      <c r="AE9" s="114"/>
      <c r="AF9" s="113"/>
    </row>
    <row r="10" spans="1:36" x14ac:dyDescent="0.25">
      <c r="D10" s="7"/>
      <c r="E10" s="8"/>
      <c r="F10" s="7"/>
      <c r="G10" s="7"/>
      <c r="H10" s="6"/>
      <c r="I10" s="6"/>
      <c r="J10" s="6"/>
      <c r="K10" s="6"/>
      <c r="L10" s="6"/>
      <c r="M10" s="6"/>
      <c r="N10" s="7"/>
      <c r="O10" s="7"/>
      <c r="P10" s="7"/>
      <c r="Q10" s="7"/>
      <c r="R10" s="3"/>
      <c r="S10" s="3"/>
      <c r="T10" s="6"/>
      <c r="U10" s="3"/>
      <c r="V10" s="3"/>
      <c r="W10" s="3"/>
      <c r="X10" s="3"/>
      <c r="Y10" s="6"/>
      <c r="Z10" s="6"/>
      <c r="AA10" s="6"/>
      <c r="AB10" s="6"/>
      <c r="AC10" s="3"/>
      <c r="AE10" s="5"/>
    </row>
    <row r="11" spans="1:36" ht="16.5" x14ac:dyDescent="0.25">
      <c r="A11" s="2"/>
      <c r="C11" s="52"/>
      <c r="H11" s="4"/>
      <c r="I11" s="4"/>
      <c r="J11" s="4"/>
      <c r="K11" s="4"/>
      <c r="L11" s="4"/>
      <c r="M11" s="4"/>
      <c r="R11" s="4"/>
      <c r="S11" s="4"/>
      <c r="T11" s="4"/>
      <c r="Y11" s="4"/>
      <c r="Z11" s="4"/>
      <c r="AA11" s="4"/>
      <c r="AB11" s="4"/>
    </row>
    <row r="13" spans="1:36" x14ac:dyDescent="0.25">
      <c r="C13" s="10"/>
    </row>
    <row r="14" spans="1:36" x14ac:dyDescent="0.25">
      <c r="C14" s="10"/>
    </row>
    <row r="15" spans="1:36" x14ac:dyDescent="0.25">
      <c r="C15" s="10"/>
    </row>
    <row r="16" spans="1:36" x14ac:dyDescent="0.25">
      <c r="C16" s="10"/>
      <c r="AJ16" s="2"/>
    </row>
    <row r="17" spans="1:36" x14ac:dyDescent="0.25">
      <c r="C17" s="10"/>
    </row>
    <row r="18" spans="1:36" x14ac:dyDescent="0.25">
      <c r="C18" s="10"/>
    </row>
    <row r="19" spans="1:36" x14ac:dyDescent="0.25">
      <c r="C19" s="10"/>
      <c r="O19" s="82" t="s">
        <v>9</v>
      </c>
      <c r="P19">
        <f>'Actually Worked Days'!B7*8</f>
        <v>1776</v>
      </c>
    </row>
    <row r="20" spans="1:36" x14ac:dyDescent="0.25">
      <c r="C20" s="10"/>
    </row>
    <row r="21" spans="1:36" x14ac:dyDescent="0.25">
      <c r="C21" s="10"/>
    </row>
    <row r="22" spans="1:36" x14ac:dyDescent="0.25">
      <c r="C22" s="10"/>
    </row>
    <row r="23" spans="1:36" x14ac:dyDescent="0.25">
      <c r="C23" s="10"/>
    </row>
    <row r="24" spans="1:36" x14ac:dyDescent="0.25">
      <c r="C24" s="10"/>
    </row>
    <row r="25" spans="1:36" x14ac:dyDescent="0.25">
      <c r="C25" s="10"/>
    </row>
    <row r="26" spans="1:36" x14ac:dyDescent="0.25">
      <c r="C26" s="10"/>
    </row>
    <row r="27" spans="1:36" x14ac:dyDescent="0.25">
      <c r="C27" s="10"/>
    </row>
    <row r="29" spans="1:36" x14ac:dyDescent="0.25">
      <c r="A29" s="2"/>
      <c r="C29" s="52"/>
    </row>
    <row r="30" spans="1:36" x14ac:dyDescent="0.25">
      <c r="AJ30" s="2"/>
    </row>
    <row r="31" spans="1:36" x14ac:dyDescent="0.25">
      <c r="C31" s="10"/>
    </row>
    <row r="32" spans="1:36" x14ac:dyDescent="0.25">
      <c r="C32" s="10"/>
    </row>
    <row r="33" spans="1:3" x14ac:dyDescent="0.25">
      <c r="C33" s="10"/>
    </row>
    <row r="34" spans="1:3" x14ac:dyDescent="0.25">
      <c r="C34" s="10"/>
    </row>
    <row r="35" spans="1:3" x14ac:dyDescent="0.25">
      <c r="C35" s="10"/>
    </row>
    <row r="36" spans="1:3" x14ac:dyDescent="0.25">
      <c r="C36" s="10"/>
    </row>
    <row r="37" spans="1:3" x14ac:dyDescent="0.25">
      <c r="C37" s="10"/>
    </row>
    <row r="38" spans="1:3" x14ac:dyDescent="0.25">
      <c r="C38" s="10"/>
    </row>
    <row r="39" spans="1:3" x14ac:dyDescent="0.25">
      <c r="C39" s="10"/>
    </row>
    <row r="40" spans="1:3" x14ac:dyDescent="0.25">
      <c r="C40" s="10"/>
    </row>
    <row r="42" spans="1:3" x14ac:dyDescent="0.25">
      <c r="A42" s="2"/>
      <c r="C42" s="52"/>
    </row>
    <row r="44" spans="1:3" x14ac:dyDescent="0.25">
      <c r="C44" s="10"/>
    </row>
    <row r="45" spans="1:3" x14ac:dyDescent="0.25">
      <c r="C45" s="10"/>
    </row>
    <row r="46" spans="1:3" x14ac:dyDescent="0.25">
      <c r="C46" s="10"/>
    </row>
    <row r="47" spans="1:3" x14ac:dyDescent="0.25">
      <c r="C47" s="10"/>
    </row>
    <row r="48" spans="1:3" x14ac:dyDescent="0.25">
      <c r="C48" s="10"/>
    </row>
    <row r="49" spans="1:3" x14ac:dyDescent="0.25">
      <c r="C49" s="10"/>
    </row>
    <row r="50" spans="1:3" x14ac:dyDescent="0.25">
      <c r="C50" s="10"/>
    </row>
    <row r="51" spans="1:3" x14ac:dyDescent="0.25">
      <c r="C51" s="10"/>
    </row>
    <row r="52" spans="1:3" x14ac:dyDescent="0.25">
      <c r="C52" s="10"/>
    </row>
    <row r="53" spans="1:3" x14ac:dyDescent="0.25">
      <c r="C53" s="10"/>
    </row>
    <row r="54" spans="1:3" x14ac:dyDescent="0.25">
      <c r="C54" s="10"/>
    </row>
    <row r="55" spans="1:3" x14ac:dyDescent="0.25">
      <c r="C55" s="10"/>
    </row>
    <row r="56" spans="1:3" x14ac:dyDescent="0.25">
      <c r="C56" s="10"/>
    </row>
    <row r="57" spans="1:3" x14ac:dyDescent="0.25">
      <c r="C57" s="10"/>
    </row>
    <row r="58" spans="1:3" x14ac:dyDescent="0.25">
      <c r="C58" s="10"/>
    </row>
    <row r="59" spans="1:3" x14ac:dyDescent="0.25">
      <c r="C59" s="10"/>
    </row>
    <row r="61" spans="1:3" x14ac:dyDescent="0.25">
      <c r="A61" s="2"/>
      <c r="B61" s="2"/>
      <c r="C61" s="2"/>
    </row>
    <row r="63" spans="1:3" x14ac:dyDescent="0.25">
      <c r="C63" s="10"/>
    </row>
    <row r="64" spans="1:3" x14ac:dyDescent="0.25">
      <c r="C64" s="10"/>
    </row>
    <row r="65" spans="3:3" x14ac:dyDescent="0.25">
      <c r="C65" s="10"/>
    </row>
    <row r="66" spans="3:3" x14ac:dyDescent="0.25">
      <c r="C66" s="10"/>
    </row>
    <row r="67" spans="3:3" x14ac:dyDescent="0.25">
      <c r="C67" s="10"/>
    </row>
    <row r="68" spans="3:3" x14ac:dyDescent="0.25">
      <c r="C68" s="10"/>
    </row>
    <row r="69" spans="3:3" x14ac:dyDescent="0.25">
      <c r="C69" s="10"/>
    </row>
    <row r="70" spans="3:3" x14ac:dyDescent="0.25">
      <c r="C70" s="10"/>
    </row>
    <row r="71" spans="3:3" x14ac:dyDescent="0.25">
      <c r="C71" s="10"/>
    </row>
    <row r="72" spans="3:3" x14ac:dyDescent="0.25">
      <c r="C72" s="10"/>
    </row>
    <row r="73" spans="3:3" x14ac:dyDescent="0.25">
      <c r="C73" s="10"/>
    </row>
    <row r="1048576" spans="23:28" x14ac:dyDescent="0.25">
      <c r="W1048576" s="14" t="str">
        <f>IF(V1048576="YES ACT", 6.85%, IF(V1048576="YES NSW", 5.45%, IF(V1048576="NO", 0%, "")))</f>
        <v/>
      </c>
      <c r="X1048576" s="36"/>
      <c r="Z1048576" s="64" t="e" cm="1">
        <f t="array" ref="Z1048576">_xlfn.IFS(
    Y1048576='Workers Comp'!#REF!, 'Workers Comp'!#REF!,
    Y1048576='Workers Comp'!#REF!, 'Workers Comp'!#REF!, Y1048576 ='Workers Comp'!#REF!, 'Workers Comp'!#REF!, Y1048576='Workers Comp'!#REF!, 'Workers Comp'!#REF!, Y1048576='Workers Comp'!#REF!, 'Workers Comp'!#REF!, Y1048576='Workers Comp'!#REF!, 'Workers Comp'!#REF!, Y1048576='Workers Comp'!#REF!, 'Workers Comp'!#REF!
)</f>
        <v>#REF!</v>
      </c>
      <c r="AA1048576" s="64"/>
      <c r="AB1048576" s="64"/>
    </row>
  </sheetData>
  <dataValidations count="6">
    <dataValidation type="list" allowBlank="1" showInputMessage="1" showErrorMessage="1" sqref="F2:F9" xr:uid="{D969B321-2589-4175-A8C1-1883459F1530}">
      <formula1>"Yes,No"</formula1>
    </dataValidation>
    <dataValidation type="list" showInputMessage="1" showErrorMessage="1" sqref="C10" xr:uid="{39CB862C-A4A9-4CBA-8D4F-7D62E75378B1}">
      <formula1>#REF!</formula1>
    </dataValidation>
    <dataValidation type="list" allowBlank="1" showInputMessage="1" showErrorMessage="1" sqref="V2:V9" xr:uid="{66DDD152-AEB3-4FCB-A8DC-186EC2E910C0}">
      <formula1>"Yes ACT, NO, YES NSW"</formula1>
    </dataValidation>
    <dataValidation type="list" allowBlank="1" showInputMessage="1" showErrorMessage="1" sqref="H2:H9" xr:uid="{15D47DC6-4948-4767-BAB8-64FED9F37D61}">
      <formula1>"No, Yes"</formula1>
    </dataValidation>
    <dataValidation type="list" allowBlank="1" showInputMessage="1" showErrorMessage="1" sqref="I2:I8" xr:uid="{72086828-E501-4761-AB02-A5E0E76E2E5A}">
      <formula1>"$5000, $10000, $15000, $20000, $25000"</formula1>
    </dataValidation>
    <dataValidation type="list" allowBlank="1" showInputMessage="1" showErrorMessage="1" sqref="K2:K8" xr:uid="{636155EC-F2DF-449B-B8F6-C2CBCA8CE478}">
      <formula1>"No, Yes 2-6 Employees, Yes 7-10 Employees, Yes 11-20 Employees, Yes 20+ Employees"</formula1>
    </dataValidation>
  </dataValidations>
  <pageMargins left="0.75" right="0.75" top="1" bottom="1" header="0.5" footer="0.5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38B398E1-4F24-4CC7-867B-B2D904F4DE2E}">
          <x14:formula1>
            <xm:f>Awards!$C$2:$C$41</xm:f>
          </x14:formula1>
          <xm:sqref>C2:C7 C9</xm:sqref>
        </x14:dataValidation>
        <x14:dataValidation type="list" allowBlank="1" showInputMessage="1" showErrorMessage="1" xr:uid="{2E8A3BE8-CDDC-4C83-A2BE-BFE8CE274065}">
          <x14:formula1>
            <xm:f>'Workers Comp'!$A$2:$A$10</xm:f>
          </x14:formula1>
          <xm:sqref>Y2:Y7 Y9</xm:sqref>
        </x14:dataValidation>
        <x14:dataValidation type="list" allowBlank="1" showInputMessage="1" showErrorMessage="1" xr:uid="{AB468DA0-87ED-4200-A24F-814BD527919D}">
          <x14:formula1>
            <xm:f>'Workers Comp'!$A$2:$A$11</xm:f>
          </x14:formula1>
          <xm:sqref>Y8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8E8C5B-F575-4B13-AFE0-B8EDC0471DAD}">
  <dimension ref="A1:I41"/>
  <sheetViews>
    <sheetView topLeftCell="B1" workbookViewId="0">
      <selection activeCell="G15" sqref="G15"/>
    </sheetView>
  </sheetViews>
  <sheetFormatPr defaultRowHeight="15" x14ac:dyDescent="0.25"/>
  <cols>
    <col min="1" max="1" width="37.42578125" bestFit="1" customWidth="1"/>
    <col min="2" max="2" width="26.7109375" bestFit="1" customWidth="1"/>
    <col min="3" max="3" width="29.85546875" bestFit="1" customWidth="1"/>
    <col min="4" max="4" width="11.28515625" bestFit="1" customWidth="1"/>
    <col min="5" max="5" width="11.28515625" customWidth="1"/>
    <col min="6" max="6" width="26.7109375" bestFit="1" customWidth="1"/>
    <col min="7" max="7" width="36.42578125" customWidth="1"/>
    <col min="8" max="8" width="17" bestFit="1" customWidth="1"/>
  </cols>
  <sheetData>
    <row r="1" spans="1:9" s="2" customFormat="1" ht="15.75" thickBot="1" x14ac:dyDescent="0.3">
      <c r="A1" s="49" t="s">
        <v>88</v>
      </c>
      <c r="B1" s="1" t="s">
        <v>89</v>
      </c>
      <c r="C1" s="1" t="s">
        <v>14</v>
      </c>
      <c r="D1" s="50" t="s">
        <v>90</v>
      </c>
      <c r="F1" s="2" t="s">
        <v>88</v>
      </c>
      <c r="G1" s="2" t="s">
        <v>107</v>
      </c>
      <c r="H1" s="2" t="s">
        <v>117</v>
      </c>
      <c r="I1" s="2" t="s">
        <v>118</v>
      </c>
    </row>
    <row r="2" spans="1:9" ht="15.75" thickBot="1" x14ac:dyDescent="0.3">
      <c r="A2" s="56" t="s">
        <v>114</v>
      </c>
      <c r="B2" s="32" t="s">
        <v>1</v>
      </c>
      <c r="C2" s="32" t="s">
        <v>27</v>
      </c>
      <c r="D2" s="58">
        <v>23.46</v>
      </c>
      <c r="E2" s="10"/>
      <c r="F2" t="s">
        <v>108</v>
      </c>
      <c r="G2" t="s">
        <v>119</v>
      </c>
      <c r="H2" s="3">
        <v>17.16</v>
      </c>
      <c r="I2" s="3">
        <f>H2/38</f>
        <v>0.45157894736842108</v>
      </c>
    </row>
    <row r="3" spans="1:9" ht="15.75" thickBot="1" x14ac:dyDescent="0.3">
      <c r="A3" s="56" t="s">
        <v>114</v>
      </c>
      <c r="B3" s="53" t="s">
        <v>1</v>
      </c>
      <c r="C3" s="53" t="s">
        <v>28</v>
      </c>
      <c r="D3" s="33">
        <v>24.1</v>
      </c>
      <c r="E3" s="10"/>
      <c r="H3" s="3"/>
    </row>
    <row r="4" spans="1:9" ht="15.75" thickBot="1" x14ac:dyDescent="0.3">
      <c r="A4" s="56" t="s">
        <v>114</v>
      </c>
      <c r="B4" s="53" t="s">
        <v>1</v>
      </c>
      <c r="C4" s="53" t="s">
        <v>16</v>
      </c>
      <c r="D4" s="33">
        <v>24.52</v>
      </c>
      <c r="E4" s="10"/>
      <c r="F4" t="s">
        <v>109</v>
      </c>
      <c r="G4" t="s">
        <v>119</v>
      </c>
      <c r="H4" s="3"/>
      <c r="I4" s="5">
        <v>0.32</v>
      </c>
    </row>
    <row r="5" spans="1:9" ht="15.75" thickBot="1" x14ac:dyDescent="0.3">
      <c r="A5" s="56" t="s">
        <v>114</v>
      </c>
      <c r="B5" s="53" t="s">
        <v>1</v>
      </c>
      <c r="C5" s="53" t="s">
        <v>29</v>
      </c>
      <c r="D5" s="33">
        <v>25.65</v>
      </c>
      <c r="E5" s="10"/>
      <c r="F5" t="s">
        <v>109</v>
      </c>
      <c r="G5" t="s">
        <v>110</v>
      </c>
      <c r="H5" s="3"/>
      <c r="I5" s="3">
        <v>0.73</v>
      </c>
    </row>
    <row r="6" spans="1:9" ht="15.75" thickBot="1" x14ac:dyDescent="0.3">
      <c r="A6" s="56" t="s">
        <v>114</v>
      </c>
      <c r="B6" s="53" t="s">
        <v>1</v>
      </c>
      <c r="C6" s="53" t="s">
        <v>30</v>
      </c>
      <c r="D6" s="33">
        <v>27.17</v>
      </c>
      <c r="E6" s="10"/>
      <c r="G6" t="s">
        <v>111</v>
      </c>
      <c r="H6" s="3"/>
      <c r="I6" s="3">
        <v>0.85</v>
      </c>
    </row>
    <row r="7" spans="1:9" ht="15.75" thickBot="1" x14ac:dyDescent="0.3">
      <c r="A7" s="56" t="s">
        <v>114</v>
      </c>
      <c r="B7" s="53" t="s">
        <v>1</v>
      </c>
      <c r="C7" s="53" t="s">
        <v>17</v>
      </c>
      <c r="D7" s="33">
        <v>30.01</v>
      </c>
      <c r="E7" s="10"/>
      <c r="G7" t="s">
        <v>112</v>
      </c>
      <c r="H7" s="3"/>
      <c r="I7" s="3">
        <v>1.21</v>
      </c>
    </row>
    <row r="8" spans="1:9" ht="15.75" thickBot="1" x14ac:dyDescent="0.3">
      <c r="A8" s="56" t="s">
        <v>114</v>
      </c>
      <c r="B8" s="53" t="s">
        <v>1</v>
      </c>
      <c r="C8" s="53" t="s">
        <v>31</v>
      </c>
      <c r="D8" s="33">
        <v>32.68</v>
      </c>
      <c r="E8" s="10"/>
      <c r="G8" t="s">
        <v>113</v>
      </c>
      <c r="H8" s="3"/>
      <c r="I8" s="3">
        <v>1.52</v>
      </c>
    </row>
    <row r="9" spans="1:9" ht="15.75" thickBot="1" x14ac:dyDescent="0.3">
      <c r="A9" s="56" t="s">
        <v>114</v>
      </c>
      <c r="B9" s="53" t="s">
        <v>2</v>
      </c>
      <c r="C9" s="53" t="s">
        <v>20</v>
      </c>
      <c r="D9" s="33">
        <v>29.33</v>
      </c>
      <c r="E9" s="10"/>
      <c r="H9" s="3"/>
    </row>
    <row r="10" spans="1:9" ht="15.75" thickBot="1" x14ac:dyDescent="0.3">
      <c r="A10" s="56" t="s">
        <v>114</v>
      </c>
      <c r="B10" s="53" t="s">
        <v>2</v>
      </c>
      <c r="C10" s="53" t="s">
        <v>19</v>
      </c>
      <c r="D10" s="33">
        <v>30.1</v>
      </c>
      <c r="E10" s="10"/>
      <c r="F10" t="s">
        <v>120</v>
      </c>
      <c r="G10" t="s">
        <v>119</v>
      </c>
      <c r="H10" s="3">
        <v>13.42</v>
      </c>
      <c r="I10" s="3">
        <f>H10/38</f>
        <v>0.35315789473684212</v>
      </c>
    </row>
    <row r="11" spans="1:9" ht="15.75" thickBot="1" x14ac:dyDescent="0.3">
      <c r="A11" s="56" t="s">
        <v>114</v>
      </c>
      <c r="B11" s="53" t="s">
        <v>2</v>
      </c>
      <c r="C11" s="53" t="s">
        <v>18</v>
      </c>
      <c r="D11" s="33">
        <v>30.65</v>
      </c>
      <c r="E11" s="10"/>
    </row>
    <row r="12" spans="1:9" ht="15.75" thickBot="1" x14ac:dyDescent="0.3">
      <c r="A12" s="56" t="s">
        <v>114</v>
      </c>
      <c r="B12" s="53" t="s">
        <v>2</v>
      </c>
      <c r="C12" s="53" t="s">
        <v>32</v>
      </c>
      <c r="D12" s="33">
        <v>32.06</v>
      </c>
      <c r="E12" s="10"/>
    </row>
    <row r="13" spans="1:9" ht="15.75" thickBot="1" x14ac:dyDescent="0.3">
      <c r="A13" s="56" t="s">
        <v>114</v>
      </c>
      <c r="B13" s="53" t="s">
        <v>2</v>
      </c>
      <c r="C13" s="53" t="s">
        <v>33</v>
      </c>
      <c r="D13" s="33">
        <v>33.96</v>
      </c>
      <c r="E13" s="10"/>
    </row>
    <row r="14" spans="1:9" ht="15.75" thickBot="1" x14ac:dyDescent="0.3">
      <c r="A14" s="56" t="s">
        <v>114</v>
      </c>
      <c r="B14" s="53" t="s">
        <v>2</v>
      </c>
      <c r="C14" s="53" t="s">
        <v>34</v>
      </c>
      <c r="D14" s="33">
        <v>37.51</v>
      </c>
      <c r="E14" s="10"/>
    </row>
    <row r="15" spans="1:9" ht="15.75" thickBot="1" x14ac:dyDescent="0.3">
      <c r="A15" s="56" t="s">
        <v>114</v>
      </c>
      <c r="B15" s="34" t="s">
        <v>2</v>
      </c>
      <c r="C15" s="34" t="s">
        <v>35</v>
      </c>
      <c r="D15" s="35">
        <v>40.85</v>
      </c>
      <c r="E15" s="10"/>
    </row>
    <row r="16" spans="1:9" x14ac:dyDescent="0.25">
      <c r="A16" s="51" t="s">
        <v>115</v>
      </c>
      <c r="B16" s="54" t="s">
        <v>1</v>
      </c>
      <c r="C16" s="54" t="s">
        <v>45</v>
      </c>
      <c r="D16" s="29">
        <v>23.46</v>
      </c>
      <c r="E16" s="10"/>
    </row>
    <row r="17" spans="1:5" x14ac:dyDescent="0.25">
      <c r="A17" s="51" t="s">
        <v>115</v>
      </c>
      <c r="B17" s="54" t="s">
        <v>1</v>
      </c>
      <c r="C17" s="54" t="s">
        <v>41</v>
      </c>
      <c r="D17" s="29">
        <v>24.1</v>
      </c>
      <c r="E17" s="10"/>
    </row>
    <row r="18" spans="1:5" x14ac:dyDescent="0.25">
      <c r="A18" s="51" t="s">
        <v>115</v>
      </c>
      <c r="B18" s="54" t="s">
        <v>1</v>
      </c>
      <c r="C18" s="54" t="s">
        <v>42</v>
      </c>
      <c r="D18" s="29">
        <v>24.76</v>
      </c>
      <c r="E18" s="10"/>
    </row>
    <row r="19" spans="1:5" x14ac:dyDescent="0.25">
      <c r="A19" s="51" t="s">
        <v>115</v>
      </c>
      <c r="B19" s="54" t="s">
        <v>1</v>
      </c>
      <c r="C19" s="54" t="s">
        <v>43</v>
      </c>
      <c r="D19" s="29">
        <v>25.66</v>
      </c>
      <c r="E19" s="10"/>
    </row>
    <row r="20" spans="1:5" x14ac:dyDescent="0.25">
      <c r="A20" s="51" t="s">
        <v>115</v>
      </c>
      <c r="B20" s="54" t="s">
        <v>1</v>
      </c>
      <c r="C20" s="54" t="s">
        <v>44</v>
      </c>
      <c r="D20" s="29">
        <v>27.17</v>
      </c>
      <c r="E20" s="10"/>
    </row>
    <row r="21" spans="1:5" x14ac:dyDescent="0.25">
      <c r="A21" s="51" t="s">
        <v>115</v>
      </c>
      <c r="B21" s="54" t="s">
        <v>2</v>
      </c>
      <c r="C21" s="54" t="s">
        <v>36</v>
      </c>
      <c r="D21" s="29">
        <v>29.33</v>
      </c>
      <c r="E21" s="10"/>
    </row>
    <row r="22" spans="1:5" x14ac:dyDescent="0.25">
      <c r="A22" s="51" t="s">
        <v>115</v>
      </c>
      <c r="B22" s="54" t="s">
        <v>2</v>
      </c>
      <c r="C22" s="54" t="s">
        <v>37</v>
      </c>
      <c r="D22" s="29">
        <v>30.13</v>
      </c>
      <c r="E22" s="10"/>
    </row>
    <row r="23" spans="1:5" x14ac:dyDescent="0.25">
      <c r="A23" s="51" t="s">
        <v>115</v>
      </c>
      <c r="B23" s="54" t="s">
        <v>2</v>
      </c>
      <c r="C23" s="54" t="s">
        <v>38</v>
      </c>
      <c r="D23" s="29">
        <v>30.95</v>
      </c>
      <c r="E23" s="10"/>
    </row>
    <row r="24" spans="1:5" x14ac:dyDescent="0.25">
      <c r="A24" s="51" t="s">
        <v>115</v>
      </c>
      <c r="B24" s="54" t="s">
        <v>2</v>
      </c>
      <c r="C24" s="54" t="s">
        <v>39</v>
      </c>
      <c r="D24" s="29">
        <v>32.08</v>
      </c>
      <c r="E24" s="10"/>
    </row>
    <row r="25" spans="1:5" ht="15.75" thickBot="1" x14ac:dyDescent="0.3">
      <c r="A25" s="51" t="s">
        <v>115</v>
      </c>
      <c r="B25" s="30" t="s">
        <v>2</v>
      </c>
      <c r="C25" s="30" t="s">
        <v>40</v>
      </c>
      <c r="D25" s="31">
        <v>33.96</v>
      </c>
      <c r="E25" s="10"/>
    </row>
    <row r="26" spans="1:5" ht="15.75" thickBot="1" x14ac:dyDescent="0.3">
      <c r="A26" s="56" t="s">
        <v>116</v>
      </c>
      <c r="B26" s="25" t="s">
        <v>1</v>
      </c>
      <c r="C26" s="25" t="s">
        <v>46</v>
      </c>
      <c r="D26" s="57">
        <v>25.65</v>
      </c>
      <c r="E26" s="10"/>
    </row>
    <row r="27" spans="1:5" ht="15.75" thickBot="1" x14ac:dyDescent="0.3">
      <c r="A27" s="56" t="s">
        <v>116</v>
      </c>
      <c r="B27" s="55" t="s">
        <v>1</v>
      </c>
      <c r="C27" s="55" t="s">
        <v>47</v>
      </c>
      <c r="D27" s="26">
        <v>26.24</v>
      </c>
      <c r="E27" s="10"/>
    </row>
    <row r="28" spans="1:5" ht="15.75" thickBot="1" x14ac:dyDescent="0.3">
      <c r="A28" s="56" t="s">
        <v>116</v>
      </c>
      <c r="B28" s="55" t="s">
        <v>1</v>
      </c>
      <c r="C28" s="55" t="s">
        <v>48</v>
      </c>
      <c r="D28" s="26">
        <v>26.65</v>
      </c>
      <c r="E28" s="10"/>
    </row>
    <row r="29" spans="1:5" ht="15.75" thickBot="1" x14ac:dyDescent="0.3">
      <c r="A29" s="56" t="s">
        <v>116</v>
      </c>
      <c r="B29" s="55" t="s">
        <v>1</v>
      </c>
      <c r="C29" s="55" t="s">
        <v>49</v>
      </c>
      <c r="D29" s="26">
        <v>27.17</v>
      </c>
      <c r="E29" s="10"/>
    </row>
    <row r="30" spans="1:5" ht="15.75" thickBot="1" x14ac:dyDescent="0.3">
      <c r="A30" s="56" t="s">
        <v>116</v>
      </c>
      <c r="B30" s="55" t="s">
        <v>1</v>
      </c>
      <c r="C30" s="55" t="s">
        <v>50</v>
      </c>
      <c r="D30" s="26">
        <v>28.28</v>
      </c>
      <c r="E30" s="10"/>
    </row>
    <row r="31" spans="1:5" ht="15.75" thickBot="1" x14ac:dyDescent="0.3">
      <c r="A31" s="56" t="s">
        <v>116</v>
      </c>
      <c r="B31" s="55" t="s">
        <v>1</v>
      </c>
      <c r="C31" s="55" t="s">
        <v>56</v>
      </c>
      <c r="D31" s="26">
        <v>28.69</v>
      </c>
      <c r="E31" s="10"/>
    </row>
    <row r="32" spans="1:5" ht="15.75" thickBot="1" x14ac:dyDescent="0.3">
      <c r="A32" s="56" t="s">
        <v>116</v>
      </c>
      <c r="B32" s="55" t="s">
        <v>1</v>
      </c>
      <c r="C32" s="55" t="s">
        <v>57</v>
      </c>
      <c r="D32" s="26">
        <v>30.13</v>
      </c>
      <c r="E32" s="10"/>
    </row>
    <row r="33" spans="1:5" ht="15.75" thickBot="1" x14ac:dyDescent="0.3">
      <c r="A33" s="56" t="s">
        <v>116</v>
      </c>
      <c r="B33" s="55" t="s">
        <v>1</v>
      </c>
      <c r="C33" s="55" t="s">
        <v>58</v>
      </c>
      <c r="D33" s="26">
        <v>31.36</v>
      </c>
      <c r="E33" s="10"/>
    </row>
    <row r="34" spans="1:5" ht="15.75" thickBot="1" x14ac:dyDescent="0.3">
      <c r="A34" s="56" t="s">
        <v>116</v>
      </c>
      <c r="B34" s="55" t="s">
        <v>2</v>
      </c>
      <c r="C34" s="55" t="s">
        <v>51</v>
      </c>
      <c r="D34" s="26">
        <v>32.06</v>
      </c>
      <c r="E34" s="10"/>
    </row>
    <row r="35" spans="1:5" ht="15.75" thickBot="1" x14ac:dyDescent="0.3">
      <c r="A35" s="56" t="s">
        <v>116</v>
      </c>
      <c r="B35" s="55" t="s">
        <v>2</v>
      </c>
      <c r="C35" s="55" t="s">
        <v>52</v>
      </c>
      <c r="D35" s="26">
        <v>32.799999999999997</v>
      </c>
      <c r="E35" s="10"/>
    </row>
    <row r="36" spans="1:5" ht="15.75" thickBot="1" x14ac:dyDescent="0.3">
      <c r="A36" s="56" t="s">
        <v>116</v>
      </c>
      <c r="B36" s="55" t="s">
        <v>2</v>
      </c>
      <c r="C36" s="55" t="s">
        <v>53</v>
      </c>
      <c r="D36" s="26">
        <v>33.31</v>
      </c>
      <c r="E36" s="10"/>
    </row>
    <row r="37" spans="1:5" ht="15.75" thickBot="1" x14ac:dyDescent="0.3">
      <c r="A37" s="56" t="s">
        <v>116</v>
      </c>
      <c r="B37" s="55" t="s">
        <v>2</v>
      </c>
      <c r="C37" s="55" t="s">
        <v>54</v>
      </c>
      <c r="D37" s="26">
        <v>33.96</v>
      </c>
      <c r="E37" s="10"/>
    </row>
    <row r="38" spans="1:5" ht="15.75" thickBot="1" x14ac:dyDescent="0.3">
      <c r="A38" s="56" t="s">
        <v>116</v>
      </c>
      <c r="B38" s="55" t="s">
        <v>2</v>
      </c>
      <c r="C38" s="55" t="s">
        <v>55</v>
      </c>
      <c r="D38" s="26">
        <v>35.35</v>
      </c>
      <c r="E38" s="10"/>
    </row>
    <row r="39" spans="1:5" ht="15.75" thickBot="1" x14ac:dyDescent="0.3">
      <c r="A39" s="56" t="s">
        <v>116</v>
      </c>
      <c r="B39" s="55" t="s">
        <v>2</v>
      </c>
      <c r="C39" s="55" t="s">
        <v>59</v>
      </c>
      <c r="D39" s="26">
        <v>35.86</v>
      </c>
      <c r="E39" s="10"/>
    </row>
    <row r="40" spans="1:5" ht="15.75" thickBot="1" x14ac:dyDescent="0.3">
      <c r="A40" s="56" t="s">
        <v>116</v>
      </c>
      <c r="B40" s="55" t="s">
        <v>2</v>
      </c>
      <c r="C40" s="55" t="s">
        <v>60</v>
      </c>
      <c r="D40" s="26">
        <v>37.659999999999997</v>
      </c>
      <c r="E40" s="10"/>
    </row>
    <row r="41" spans="1:5" ht="15.75" thickBot="1" x14ac:dyDescent="0.3">
      <c r="A41" s="56" t="s">
        <v>116</v>
      </c>
      <c r="B41" s="27" t="s">
        <v>2</v>
      </c>
      <c r="C41" s="27" t="s">
        <v>61</v>
      </c>
      <c r="D41" s="28">
        <v>39.200000000000003</v>
      </c>
      <c r="E41" s="10"/>
    </row>
  </sheetData>
  <phoneticPr fontId="7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8FA13-B054-4720-AFF5-D3949E962C45}">
  <dimension ref="A1:B5"/>
  <sheetViews>
    <sheetView workbookViewId="0">
      <selection activeCell="D8" sqref="D8"/>
    </sheetView>
  </sheetViews>
  <sheetFormatPr defaultRowHeight="15" x14ac:dyDescent="0.25"/>
  <cols>
    <col min="1" max="1" width="22.42578125" bestFit="1" customWidth="1"/>
    <col min="2" max="2" width="11.5703125" bestFit="1" customWidth="1"/>
  </cols>
  <sheetData>
    <row r="1" spans="1:2" x14ac:dyDescent="0.25">
      <c r="A1" s="2" t="s">
        <v>104</v>
      </c>
    </row>
    <row r="3" spans="1:2" x14ac:dyDescent="0.25">
      <c r="A3" s="2" t="s">
        <v>105</v>
      </c>
      <c r="B3" s="3">
        <v>70000</v>
      </c>
    </row>
    <row r="4" spans="1:2" x14ac:dyDescent="0.25">
      <c r="A4" s="2" t="s">
        <v>106</v>
      </c>
      <c r="B4">
        <v>38</v>
      </c>
    </row>
    <row r="5" spans="1:2" x14ac:dyDescent="0.25">
      <c r="A5" s="2" t="s">
        <v>0</v>
      </c>
      <c r="B5" s="5">
        <f>B3/(B4*52)</f>
        <v>35.425101214574902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3861C-0350-4349-A6E8-277CA14426BF}">
  <dimension ref="A1:D18"/>
  <sheetViews>
    <sheetView workbookViewId="0">
      <selection activeCell="B13" sqref="B13"/>
    </sheetView>
  </sheetViews>
  <sheetFormatPr defaultRowHeight="15" x14ac:dyDescent="0.25"/>
  <cols>
    <col min="1" max="1" width="45.85546875" bestFit="1" customWidth="1"/>
    <col min="2" max="2" width="23.140625" bestFit="1" customWidth="1"/>
    <col min="3" max="3" width="18.5703125" customWidth="1"/>
    <col min="4" max="4" width="10.140625" bestFit="1" customWidth="1"/>
  </cols>
  <sheetData>
    <row r="1" spans="1:4" ht="30" x14ac:dyDescent="0.25">
      <c r="A1" s="2" t="s">
        <v>87</v>
      </c>
      <c r="B1" s="2" t="s">
        <v>95</v>
      </c>
      <c r="C1" s="63" t="s">
        <v>96</v>
      </c>
      <c r="D1" s="2" t="s">
        <v>97</v>
      </c>
    </row>
    <row r="2" spans="1:4" x14ac:dyDescent="0.25">
      <c r="A2" t="s">
        <v>85</v>
      </c>
      <c r="B2" s="62">
        <v>4.8399999999999999E-2</v>
      </c>
      <c r="C2" s="65">
        <v>2.2000000000000001E-4</v>
      </c>
      <c r="D2" s="62">
        <f>C2+B2</f>
        <v>4.8619999999999997E-2</v>
      </c>
    </row>
    <row r="3" spans="1:4" x14ac:dyDescent="0.25">
      <c r="A3" t="s">
        <v>86</v>
      </c>
      <c r="B3" s="62">
        <v>5.7599999999999998E-2</v>
      </c>
      <c r="C3" s="65">
        <v>2.2000000000000001E-4</v>
      </c>
      <c r="D3" s="62">
        <f t="shared" ref="D3:D10" si="0">C3+B3</f>
        <v>5.7819999999999996E-2</v>
      </c>
    </row>
    <row r="4" spans="1:4" x14ac:dyDescent="0.25">
      <c r="A4" t="s">
        <v>129</v>
      </c>
      <c r="B4" s="62">
        <v>3.1E-2</v>
      </c>
      <c r="C4" s="65">
        <v>4.0000000000000003E-5</v>
      </c>
      <c r="D4" s="62">
        <f>C4+B4</f>
        <v>3.1039999999999998E-2</v>
      </c>
    </row>
    <row r="5" spans="1:4" x14ac:dyDescent="0.25">
      <c r="A5" t="s">
        <v>130</v>
      </c>
      <c r="B5" s="62">
        <v>6.5199999999999994E-2</v>
      </c>
      <c r="C5" s="65">
        <v>4.0000000000000003E-5</v>
      </c>
      <c r="D5" s="62">
        <f>C5+B5</f>
        <v>6.5239999999999992E-2</v>
      </c>
    </row>
    <row r="6" spans="1:4" x14ac:dyDescent="0.25">
      <c r="A6" t="s">
        <v>131</v>
      </c>
      <c r="B6" s="62">
        <v>6.8199999999999997E-3</v>
      </c>
      <c r="C6" s="65">
        <v>4.0000000000000003E-5</v>
      </c>
      <c r="D6" s="62">
        <f t="shared" si="0"/>
        <v>6.8599999999999998E-3</v>
      </c>
    </row>
    <row r="7" spans="1:4" x14ac:dyDescent="0.25">
      <c r="A7" t="s">
        <v>92</v>
      </c>
      <c r="B7" s="62">
        <v>3.9E-2</v>
      </c>
      <c r="D7" s="62">
        <f t="shared" si="0"/>
        <v>3.9E-2</v>
      </c>
    </row>
    <row r="8" spans="1:4" x14ac:dyDescent="0.25">
      <c r="A8" t="s">
        <v>93</v>
      </c>
      <c r="B8" s="62">
        <v>5.5899999999999998E-2</v>
      </c>
      <c r="D8" s="62">
        <f t="shared" si="0"/>
        <v>5.5899999999999998E-2</v>
      </c>
    </row>
    <row r="9" spans="1:4" x14ac:dyDescent="0.25">
      <c r="A9" t="s">
        <v>94</v>
      </c>
      <c r="B9" s="62">
        <v>3.5200000000000002E-2</v>
      </c>
      <c r="D9" s="62">
        <f t="shared" si="0"/>
        <v>3.5200000000000002E-2</v>
      </c>
    </row>
    <row r="10" spans="1:4" x14ac:dyDescent="0.25">
      <c r="A10" t="s">
        <v>98</v>
      </c>
      <c r="B10" s="62">
        <v>3.1E-2</v>
      </c>
      <c r="D10" s="62">
        <f t="shared" si="0"/>
        <v>3.1E-2</v>
      </c>
    </row>
    <row r="18" spans="1:1" x14ac:dyDescent="0.25">
      <c r="A18" t="s">
        <v>99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9B39D-703B-47E1-973C-F8562F91489F}">
  <dimension ref="A1:C8"/>
  <sheetViews>
    <sheetView workbookViewId="0">
      <selection activeCell="E11" sqref="E11"/>
    </sheetView>
  </sheetViews>
  <sheetFormatPr defaultRowHeight="15" x14ac:dyDescent="0.25"/>
  <cols>
    <col min="1" max="1" width="57.7109375" bestFit="1" customWidth="1"/>
  </cols>
  <sheetData>
    <row r="1" spans="1:3" ht="16.5" x14ac:dyDescent="0.25">
      <c r="A1" s="2" t="s">
        <v>71</v>
      </c>
      <c r="C1" s="4"/>
    </row>
    <row r="2" spans="1:3" x14ac:dyDescent="0.25">
      <c r="A2" t="s">
        <v>3</v>
      </c>
      <c r="B2">
        <v>261</v>
      </c>
      <c r="C2" t="s">
        <v>4</v>
      </c>
    </row>
    <row r="3" spans="1:3" x14ac:dyDescent="0.25">
      <c r="A3" t="s">
        <v>5</v>
      </c>
      <c r="B3">
        <v>9</v>
      </c>
      <c r="C3" t="s">
        <v>6</v>
      </c>
    </row>
    <row r="4" spans="1:3" x14ac:dyDescent="0.25">
      <c r="A4" t="s">
        <v>7</v>
      </c>
      <c r="B4">
        <v>20</v>
      </c>
    </row>
    <row r="5" spans="1:3" x14ac:dyDescent="0.25">
      <c r="A5" t="s">
        <v>8</v>
      </c>
      <c r="B5">
        <v>10</v>
      </c>
    </row>
    <row r="6" spans="1:3" x14ac:dyDescent="0.25">
      <c r="A6" t="s">
        <v>72</v>
      </c>
      <c r="B6">
        <v>2</v>
      </c>
    </row>
    <row r="7" spans="1:3" x14ac:dyDescent="0.25">
      <c r="A7" s="9" t="s">
        <v>74</v>
      </c>
      <c r="B7">
        <f>B2-B3-B4-B5</f>
        <v>222</v>
      </c>
    </row>
    <row r="8" spans="1:3" x14ac:dyDescent="0.25">
      <c r="A8" t="s">
        <v>73</v>
      </c>
      <c r="B8">
        <f>B7/52</f>
        <v>4.2692307692307692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Labour Costs</vt:lpstr>
      <vt:lpstr>Awards</vt:lpstr>
      <vt:lpstr>Salary</vt:lpstr>
      <vt:lpstr>Workers Comp</vt:lpstr>
      <vt:lpstr>Actually Worked Days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Tara Preston</cp:lastModifiedBy>
  <dcterms:created xsi:type="dcterms:W3CDTF">2025-01-20T02:45:08Z</dcterms:created>
  <dcterms:modified xsi:type="dcterms:W3CDTF">2025-06-20T05:42:31Z</dcterms:modified>
</cp:coreProperties>
</file>